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7\Desktop\COMPANIAS DE CONTROL\"/>
    </mc:Choice>
  </mc:AlternateContent>
  <bookViews>
    <workbookView xWindow="0" yWindow="0" windowWidth="20490" windowHeight="9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6" i="1" l="1"/>
  <c r="AI7" i="1"/>
  <c r="AI8" i="1"/>
  <c r="AI5" i="1"/>
  <c r="AL6" i="1"/>
  <c r="AL7" i="1"/>
  <c r="AL8" i="1"/>
  <c r="AL5" i="1"/>
  <c r="AK6" i="1"/>
  <c r="AK7" i="1"/>
  <c r="AK8" i="1"/>
  <c r="AK5" i="1"/>
  <c r="Z13" i="1"/>
  <c r="Z14" i="1"/>
  <c r="Z16" i="1"/>
  <c r="Z17" i="1"/>
  <c r="Z12" i="1"/>
  <c r="Y13" i="1"/>
  <c r="Y14" i="1"/>
  <c r="Y16" i="1"/>
  <c r="Y17" i="1"/>
  <c r="Y12" i="1"/>
  <c r="X13" i="1"/>
  <c r="X14" i="1"/>
  <c r="X16" i="1"/>
  <c r="X17" i="1"/>
  <c r="X12" i="1"/>
  <c r="W12" i="1" l="1"/>
  <c r="W13" i="1"/>
  <c r="W14" i="1"/>
  <c r="W16" i="1"/>
  <c r="W17" i="1"/>
  <c r="AF6" i="1"/>
  <c r="AF7" i="1"/>
  <c r="AF8" i="1"/>
  <c r="AF5" i="1"/>
  <c r="P17" i="1" l="1"/>
  <c r="V17" i="1" l="1"/>
  <c r="U17" i="1"/>
  <c r="S17" i="1"/>
  <c r="T17" i="1"/>
  <c r="L17" i="1"/>
  <c r="K17" i="1"/>
  <c r="J17" i="1"/>
  <c r="I17" i="1"/>
  <c r="H17" i="1"/>
  <c r="F27" i="1" l="1"/>
  <c r="G27" i="1" s="1"/>
  <c r="H27" i="1" l="1"/>
  <c r="I27" i="1"/>
  <c r="J27" i="1" l="1"/>
  <c r="B8" i="1"/>
  <c r="P27" i="1" l="1"/>
  <c r="O27" i="1"/>
  <c r="F5" i="1"/>
  <c r="R5" i="1" s="1"/>
  <c r="F6" i="1"/>
  <c r="R6" i="1" s="1"/>
  <c r="F7" i="1"/>
  <c r="R7" i="1" s="1"/>
  <c r="AD5" i="1" l="1"/>
  <c r="AA5" i="1"/>
  <c r="AB5" i="1"/>
  <c r="Y5" i="1"/>
  <c r="AD7" i="1"/>
  <c r="AA7" i="1"/>
  <c r="AB7" i="1"/>
  <c r="Y7" i="1"/>
  <c r="AD6" i="1"/>
  <c r="AB6" i="1"/>
  <c r="AA6" i="1"/>
  <c r="Y6" i="1"/>
  <c r="T6" i="1"/>
  <c r="V6" i="1"/>
  <c r="V7" i="1"/>
  <c r="T7" i="1"/>
  <c r="V5" i="1"/>
  <c r="T5" i="1"/>
  <c r="Q6" i="1"/>
  <c r="P6" i="1"/>
  <c r="M6" i="1"/>
  <c r="O6" i="1"/>
  <c r="L6" i="1"/>
  <c r="G6" i="1"/>
  <c r="Q7" i="1"/>
  <c r="P7" i="1"/>
  <c r="M7" i="1"/>
  <c r="O7" i="1"/>
  <c r="L7" i="1"/>
  <c r="G7" i="1"/>
  <c r="H5" i="1"/>
  <c r="H8" i="1" s="1"/>
  <c r="F8" i="1"/>
  <c r="Q5" i="1"/>
  <c r="P5" i="1"/>
  <c r="P8" i="1" s="1"/>
  <c r="O5" i="1"/>
  <c r="O8" i="1" s="1"/>
  <c r="L5" i="1"/>
  <c r="L8" i="1" s="1"/>
  <c r="M5" i="1"/>
  <c r="M8" i="1" s="1"/>
  <c r="K7" i="1"/>
  <c r="H7" i="1"/>
  <c r="H6" i="1"/>
  <c r="K6" i="1"/>
  <c r="K5" i="1"/>
  <c r="K8" i="1" s="1"/>
  <c r="G5" i="1"/>
  <c r="G8" i="1" s="1"/>
  <c r="D15" i="1"/>
  <c r="Q8" i="1" l="1"/>
  <c r="R8" i="1"/>
  <c r="V8" i="1"/>
  <c r="T8" i="1"/>
  <c r="G13" i="1"/>
  <c r="P13" i="1" s="1"/>
  <c r="G14" i="1"/>
  <c r="P14" i="1" s="1"/>
  <c r="G15" i="1"/>
  <c r="P15" i="1" s="1"/>
  <c r="G16" i="1"/>
  <c r="P16" i="1" s="1"/>
  <c r="G12" i="1"/>
  <c r="P12" i="1" s="1"/>
  <c r="S14" i="1" l="1"/>
  <c r="T14" i="1"/>
  <c r="AD8" i="1"/>
  <c r="AA8" i="1"/>
  <c r="AB8" i="1"/>
  <c r="Y8" i="1"/>
  <c r="T16" i="1"/>
  <c r="S16" i="1"/>
  <c r="S12" i="1"/>
  <c r="T12" i="1"/>
  <c r="T13" i="1"/>
  <c r="S13" i="1"/>
  <c r="R14" i="1"/>
  <c r="Q14" i="1"/>
  <c r="I14" i="1"/>
  <c r="J14" i="1"/>
  <c r="R13" i="1"/>
  <c r="Q13" i="1"/>
  <c r="J15" i="1"/>
  <c r="R12" i="1"/>
  <c r="Q12" i="1"/>
  <c r="Q16" i="1"/>
  <c r="R16" i="1"/>
  <c r="H14" i="1"/>
  <c r="O14" i="1" s="1"/>
  <c r="N12" i="1"/>
  <c r="L12" i="1"/>
  <c r="K12" i="1"/>
  <c r="M12" i="1"/>
  <c r="L16" i="1"/>
  <c r="N16" i="1"/>
  <c r="M16" i="1"/>
  <c r="K16" i="1"/>
  <c r="H16" i="1"/>
  <c r="O16" i="1" s="1"/>
  <c r="I16" i="1"/>
  <c r="J16" i="1"/>
  <c r="H13" i="1"/>
  <c r="O13" i="1" s="1"/>
  <c r="N13" i="1"/>
  <c r="M13" i="1"/>
  <c r="K13" i="1"/>
  <c r="L13" i="1"/>
  <c r="H12" i="1"/>
  <c r="O12" i="1" s="1"/>
  <c r="I12" i="1"/>
  <c r="J12" i="1"/>
  <c r="M14" i="1"/>
  <c r="L14" i="1"/>
  <c r="N14" i="1"/>
  <c r="K14" i="1"/>
  <c r="H15" i="1"/>
  <c r="O15" i="1" s="1"/>
  <c r="I15" i="1"/>
  <c r="I13" i="1"/>
  <c r="J13" i="1"/>
  <c r="R15" i="1" l="1"/>
  <c r="Q15" i="1"/>
  <c r="D5" i="1"/>
  <c r="D8" i="1" s="1"/>
  <c r="C5" i="1"/>
  <c r="C8" i="1" s="1"/>
  <c r="F13" i="1"/>
  <c r="F14" i="1"/>
  <c r="F15" i="1"/>
  <c r="F16" i="1"/>
  <c r="E13" i="1"/>
  <c r="E14" i="1"/>
  <c r="E15" i="1"/>
  <c r="E16" i="1"/>
  <c r="D16" i="1"/>
  <c r="D13" i="1"/>
  <c r="D14" i="1"/>
  <c r="E6" i="1"/>
  <c r="E7" i="1"/>
  <c r="E5" i="1"/>
  <c r="E8" i="1" s="1"/>
  <c r="D6" i="1"/>
  <c r="D7" i="1"/>
  <c r="C6" i="1"/>
  <c r="C7" i="1"/>
</calcChain>
</file>

<file path=xl/sharedStrings.xml><?xml version="1.0" encoding="utf-8"?>
<sst xmlns="http://schemas.openxmlformats.org/spreadsheetml/2006/main" count="99" uniqueCount="81">
  <si>
    <t>Categoria</t>
  </si>
  <si>
    <t>Auditor Junior</t>
  </si>
  <si>
    <t>Auditor semi Senior</t>
  </si>
  <si>
    <t>Auditor Senior</t>
  </si>
  <si>
    <t>Básicos 01/6/2021</t>
  </si>
  <si>
    <t>Básicos  (15%) 01/11/2021</t>
  </si>
  <si>
    <t>Horario</t>
  </si>
  <si>
    <t>Adicional Guardia Activa Nocturnidad: lunes a Viernes</t>
  </si>
  <si>
    <t>Adicional Guardia Activa:Sábados Domingos y Feriados Nacionales</t>
  </si>
  <si>
    <t>Adicional Embarcado</t>
  </si>
  <si>
    <t>Vianda ayuda Alimentaria (Nota1)</t>
  </si>
  <si>
    <t>Subsidio Medicamentos (Nota2)</t>
  </si>
  <si>
    <t>de 00:00 a 06:00 y/o de 18:00 a 24:00</t>
  </si>
  <si>
    <t>de 00:00 a 06:00, de 06:00 a 12:00, de 12:00 a 18:00 y de 18:00 a 24:00</t>
  </si>
  <si>
    <t>por día embarcado</t>
  </si>
  <si>
    <t>Por día efectivamente trabajado</t>
  </si>
  <si>
    <t>Mensual</t>
  </si>
  <si>
    <t>Básicos  (10%) 01/12/2021</t>
  </si>
  <si>
    <t>Básicos 01/06/2021</t>
  </si>
  <si>
    <t>Básicos (10%) 01/01/2022</t>
  </si>
  <si>
    <t>Paritaria 2021/2022 57,82% total</t>
  </si>
  <si>
    <t>Básicos (22,82) 01/04/2022</t>
  </si>
  <si>
    <t>Adicionales y Subsidios 2021/2022</t>
  </si>
  <si>
    <t>Básicos (22,82%) 01/04/2022</t>
  </si>
  <si>
    <t>Básicos (10%) 01/05/2022</t>
  </si>
  <si>
    <t>Básicos (10%) 01/07/2022 (20%A)</t>
  </si>
  <si>
    <t>Básicos  (10%) 01/09/2022 (30%A)</t>
  </si>
  <si>
    <t>PARITARIAS 2022/2023</t>
  </si>
  <si>
    <t>Art 41BIS agosto 2022</t>
  </si>
  <si>
    <t>Adicionales y Subsidios 2022/2023</t>
  </si>
  <si>
    <t xml:space="preserve">En esta planilla el salario del mes de abril 2022 se encuentra actualizado con el 22,82%, que en realidad fue cobrado como suma no remunerativa en el mes de mayo2022. </t>
  </si>
  <si>
    <t>Utilizamos abril, como base de cálculo para la paritaria 2022. Por ese motivo es que ya figura actualizado, aunque en la realidad se pagó de otra manera.</t>
  </si>
  <si>
    <t>De la misma manera el mes de mayo 2022 (ya con un 22,82% de incremento) se verá actualizado con un 10% más que en el recibo de sueldo. Ya que en el recibo de sueldo ese 10% viene como suma no remunerativa y se verá reflejado en los básicos, recién en el salario del mes de Julio 2022.</t>
  </si>
  <si>
    <t xml:space="preserve"> </t>
  </si>
  <si>
    <t xml:space="preserve">COMPANIA DE CONTROL </t>
  </si>
  <si>
    <t>º</t>
  </si>
  <si>
    <t>41BIS</t>
  </si>
  <si>
    <t>Año</t>
  </si>
  <si>
    <t>Mes</t>
  </si>
  <si>
    <t>Total 2021</t>
  </si>
  <si>
    <t>Base Inicio</t>
  </si>
  <si>
    <t>Básicos  (15%) 01/11/2022 (45%A)</t>
  </si>
  <si>
    <t>Básicos  (15%) 01/12/2022 (60%A)</t>
  </si>
  <si>
    <t>Básicos  (10%) 01/02/2022 (70%A)</t>
  </si>
  <si>
    <t>Art 41 BISEnero 2023</t>
  </si>
  <si>
    <t>19% no rem</t>
  </si>
  <si>
    <t>Total 2022</t>
  </si>
  <si>
    <t>Básicos  (10%) 01/02/2023 (70%A)</t>
  </si>
  <si>
    <t>JORNALERO</t>
  </si>
  <si>
    <t>Básicos  (10%) 01/04/2023(80%A)</t>
  </si>
  <si>
    <t>15/06/2023 Ajuste 41BIS (2022)</t>
  </si>
  <si>
    <t>15/06/2023 primer cuota 41bis 2023</t>
  </si>
  <si>
    <t>julio 2023 segunda cuota 41 bis</t>
  </si>
  <si>
    <t>01/06/2023 11%</t>
  </si>
  <si>
    <t>01/07/2023 14%(25A)</t>
  </si>
  <si>
    <t>COMPANIA DE CONTROL</t>
  </si>
  <si>
    <t>PARITARIAS 2023/2024</t>
  </si>
  <si>
    <t>Adicionales y Subsidios 2023/2024</t>
  </si>
  <si>
    <t>junio 11%</t>
  </si>
  <si>
    <t>Julio 14% (25%A)</t>
  </si>
  <si>
    <t>Bàsicos 108,8% 01/05/2023</t>
  </si>
  <si>
    <t>AYUDA ESCOLAR</t>
  </si>
  <si>
    <t>Basicos 108,8% 01/05/2023</t>
  </si>
  <si>
    <t>Básicos  (10%) 01/03/2022 (80%A)</t>
  </si>
  <si>
    <t>Agosto revision 41 bis</t>
  </si>
  <si>
    <t>Septiembre revision 41 bis</t>
  </si>
  <si>
    <t>Septiembre 15% (40%A)</t>
  </si>
  <si>
    <t>Octubre 12,5% (52,5%A)</t>
  </si>
  <si>
    <t>Noviembre 17,5%(70%A)</t>
  </si>
  <si>
    <t>Noviembre revision 41 bis</t>
  </si>
  <si>
    <t>Diciembre 23,1% (93,1%A)</t>
  </si>
  <si>
    <t>Enero revision 41 bis</t>
  </si>
  <si>
    <t>Diciembre revision 41 bis</t>
  </si>
  <si>
    <t>Enero 15% (148,1%A)</t>
  </si>
  <si>
    <t>,</t>
  </si>
  <si>
    <t>Febrero 36,4% (184,5%A)</t>
  </si>
  <si>
    <t>Marzo 12,5% (197 %A)</t>
  </si>
  <si>
    <t>Abril 15% (212%A)</t>
  </si>
  <si>
    <t>Febrero 36,4 (184,5%A)</t>
  </si>
  <si>
    <t>Marzo 12,5% (197%A)</t>
  </si>
  <si>
    <t>Febrero         41 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</si>
</sst>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164" formatCode="_ &quot;$&quot;\ * #,##0.0_ ;_ &quot;$&quot;\ * \-#,##0.0_ ;_ &quot;$&quot;\ * &quot;-&quot;??_ ;_ @_ "/>
    <numFmt numFmtId="165" formatCode="_ &quot;$&quot;\ * #,##0.0_ ;_ &quot;$&quot;\ * \-#,##0.0_ ;_ &quot;$&quot;\ * &quot;-&quot;?_ ;_ @_ "/>
    <numFmt numFmtId="166" formatCode="_ &quot;$&quot;\ * #,##0_ ;_ &quot;$&quot;\ * \-#,##0_ ;_ &quot;$&quot;\ * &quot;-&quot;??_ ;_ @_ 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95">
    <xf numFmtId="0" fontId="0" fillId="0" borderId="0" xfId="0"/>
    <xf numFmtId="0" fontId="2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4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4" borderId="1" xfId="1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164" fontId="0" fillId="0" borderId="20" xfId="1" applyNumberFormat="1" applyFont="1" applyBorder="1" applyAlignment="1">
      <alignment horizontal="center" vertical="center"/>
    </xf>
    <xf numFmtId="0" fontId="8" fillId="4" borderId="26" xfId="0" applyFont="1" applyFill="1" applyBorder="1" applyAlignment="1">
      <alignment vertical="center"/>
    </xf>
    <xf numFmtId="44" fontId="0" fillId="0" borderId="16" xfId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44" fontId="0" fillId="0" borderId="20" xfId="1" applyFont="1" applyBorder="1" applyAlignment="1">
      <alignment horizontal="center" vertical="center"/>
    </xf>
    <xf numFmtId="165" fontId="0" fillId="0" borderId="1" xfId="0" applyNumberFormat="1" applyBorder="1"/>
    <xf numFmtId="164" fontId="0" fillId="0" borderId="15" xfId="1" applyNumberFormat="1" applyFont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17" fontId="1" fillId="3" borderId="20" xfId="0" applyNumberFormat="1" applyFont="1" applyFill="1" applyBorder="1" applyAlignment="1">
      <alignment horizontal="center" vertical="center"/>
    </xf>
    <xf numFmtId="17" fontId="1" fillId="3" borderId="1" xfId="0" applyNumberFormat="1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2" fontId="0" fillId="0" borderId="1" xfId="2" applyNumberFormat="1" applyFont="1" applyBorder="1"/>
    <xf numFmtId="44" fontId="0" fillId="0" borderId="1" xfId="0" applyNumberFormat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 wrapText="1"/>
    </xf>
    <xf numFmtId="17" fontId="1" fillId="3" borderId="22" xfId="0" applyNumberFormat="1" applyFont="1" applyFill="1" applyBorder="1" applyAlignment="1">
      <alignment horizontal="center" vertical="center"/>
    </xf>
    <xf numFmtId="17" fontId="1" fillId="3" borderId="2" xfId="0" applyNumberFormat="1" applyFont="1" applyFill="1" applyBorder="1" applyAlignment="1">
      <alignment horizontal="center" vertical="center"/>
    </xf>
    <xf numFmtId="17" fontId="1" fillId="3" borderId="12" xfId="0" applyNumberFormat="1" applyFont="1" applyFill="1" applyBorder="1" applyAlignment="1">
      <alignment horizontal="center" vertical="center"/>
    </xf>
    <xf numFmtId="166" fontId="1" fillId="3" borderId="24" xfId="1" applyNumberFormat="1" applyFont="1" applyFill="1" applyBorder="1" applyAlignment="1">
      <alignment horizontal="center" vertical="center"/>
    </xf>
    <xf numFmtId="166" fontId="1" fillId="3" borderId="25" xfId="1" applyNumberFormat="1" applyFont="1" applyFill="1" applyBorder="1" applyAlignment="1">
      <alignment horizontal="center" vertical="center"/>
    </xf>
    <xf numFmtId="166" fontId="1" fillId="3" borderId="23" xfId="1" applyNumberFormat="1" applyFont="1" applyFill="1" applyBorder="1" applyAlignment="1">
      <alignment horizontal="center" vertical="center"/>
    </xf>
    <xf numFmtId="166" fontId="1" fillId="3" borderId="33" xfId="0" applyNumberFormat="1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64" fontId="0" fillId="4" borderId="16" xfId="1" applyNumberFormat="1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left" vertical="center" indent="1"/>
    </xf>
    <xf numFmtId="0" fontId="5" fillId="4" borderId="20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left" vertical="center" indent="1"/>
    </xf>
    <xf numFmtId="164" fontId="0" fillId="4" borderId="43" xfId="1" applyNumberFormat="1" applyFont="1" applyFill="1" applyBorder="1" applyAlignment="1">
      <alignment horizontal="center" vertical="center"/>
    </xf>
    <xf numFmtId="164" fontId="0" fillId="4" borderId="40" xfId="1" applyNumberFormat="1" applyFont="1" applyFill="1" applyBorder="1" applyAlignment="1">
      <alignment horizontal="center" vertical="center"/>
    </xf>
    <xf numFmtId="164" fontId="0" fillId="0" borderId="41" xfId="1" applyNumberFormat="1" applyFont="1" applyBorder="1" applyAlignment="1">
      <alignment horizontal="center" vertical="center"/>
    </xf>
    <xf numFmtId="0" fontId="1" fillId="4" borderId="38" xfId="0" applyFont="1" applyFill="1" applyBorder="1" applyAlignment="1">
      <alignment horizontal="left" vertical="center" indent="1"/>
    </xf>
    <xf numFmtId="164" fontId="0" fillId="4" borderId="44" xfId="1" applyNumberFormat="1" applyFont="1" applyFill="1" applyBorder="1" applyAlignment="1">
      <alignment horizontal="center" vertical="center"/>
    </xf>
    <xf numFmtId="164" fontId="0" fillId="4" borderId="30" xfId="1" applyNumberFormat="1" applyFont="1" applyFill="1" applyBorder="1" applyAlignment="1">
      <alignment horizontal="center" vertical="center"/>
    </xf>
    <xf numFmtId="164" fontId="0" fillId="4" borderId="31" xfId="1" applyNumberFormat="1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165" fontId="14" fillId="0" borderId="1" xfId="0" applyNumberFormat="1" applyFont="1" applyBorder="1"/>
    <xf numFmtId="164" fontId="0" fillId="4" borderId="23" xfId="1" applyNumberFormat="1" applyFont="1" applyFill="1" applyBorder="1" applyAlignment="1">
      <alignment horizontal="center" vertical="center"/>
    </xf>
    <xf numFmtId="164" fontId="0" fillId="4" borderId="24" xfId="1" applyNumberFormat="1" applyFont="1" applyFill="1" applyBorder="1" applyAlignment="1">
      <alignment horizontal="center" vertical="center"/>
    </xf>
    <xf numFmtId="165" fontId="14" fillId="0" borderId="24" xfId="0" applyNumberFormat="1" applyFont="1" applyBorder="1"/>
    <xf numFmtId="0" fontId="0" fillId="0" borderId="24" xfId="0" applyBorder="1"/>
    <xf numFmtId="166" fontId="0" fillId="3" borderId="23" xfId="0" applyNumberFormat="1" applyFill="1" applyBorder="1" applyAlignment="1">
      <alignment horizontal="center" vertical="center"/>
    </xf>
    <xf numFmtId="165" fontId="0" fillId="0" borderId="0" xfId="0" applyNumberFormat="1"/>
    <xf numFmtId="0" fontId="5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4" fontId="0" fillId="0" borderId="0" xfId="1" applyFont="1"/>
    <xf numFmtId="44" fontId="0" fillId="0" borderId="0" xfId="1" applyFont="1" applyBorder="1"/>
    <xf numFmtId="0" fontId="1" fillId="0" borderId="4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4" fontId="0" fillId="0" borderId="43" xfId="1" applyFont="1" applyBorder="1" applyAlignment="1">
      <alignment horizontal="center" vertical="center"/>
    </xf>
    <xf numFmtId="44" fontId="0" fillId="0" borderId="40" xfId="1" applyFont="1" applyBorder="1" applyAlignment="1">
      <alignment horizontal="center" vertical="center"/>
    </xf>
    <xf numFmtId="44" fontId="0" fillId="0" borderId="48" xfId="1" applyFont="1" applyBorder="1" applyAlignment="1">
      <alignment horizontal="center" vertical="center"/>
    </xf>
    <xf numFmtId="44" fontId="0" fillId="0" borderId="40" xfId="0" applyNumberForma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" fillId="0" borderId="23" xfId="0" applyFont="1" applyBorder="1"/>
    <xf numFmtId="0" fontId="6" fillId="0" borderId="19" xfId="0" applyFont="1" applyBorder="1" applyAlignment="1">
      <alignment horizontal="center" vertical="center" wrapText="1"/>
    </xf>
    <xf numFmtId="44" fontId="0" fillId="0" borderId="21" xfId="1" applyFont="1" applyBorder="1" applyAlignment="1">
      <alignment horizontal="center" vertical="center"/>
    </xf>
    <xf numFmtId="44" fontId="0" fillId="0" borderId="49" xfId="1" applyFont="1" applyBorder="1" applyAlignment="1">
      <alignment horizontal="center" vertical="center"/>
    </xf>
    <xf numFmtId="44" fontId="0" fillId="0" borderId="25" xfId="1" applyFont="1" applyBorder="1"/>
    <xf numFmtId="165" fontId="0" fillId="0" borderId="24" xfId="0" applyNumberFormat="1" applyBorder="1"/>
    <xf numFmtId="0" fontId="5" fillId="5" borderId="15" xfId="0" applyFont="1" applyFill="1" applyBorder="1" applyAlignment="1">
      <alignment horizontal="center" vertical="center" wrapText="1"/>
    </xf>
    <xf numFmtId="44" fontId="0" fillId="0" borderId="23" xfId="1" applyFont="1" applyBorder="1" applyAlignment="1">
      <alignment horizontal="center" vertical="center"/>
    </xf>
    <xf numFmtId="44" fontId="0" fillId="0" borderId="24" xfId="1" applyFont="1" applyBorder="1" applyAlignment="1">
      <alignment horizontal="center" vertical="center"/>
    </xf>
    <xf numFmtId="44" fontId="0" fillId="0" borderId="25" xfId="1" applyFont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4" fontId="14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44" fontId="14" fillId="0" borderId="40" xfId="0" applyNumberFormat="1" applyFont="1" applyBorder="1" applyAlignment="1">
      <alignment horizontal="center" vertical="center"/>
    </xf>
    <xf numFmtId="17" fontId="0" fillId="3" borderId="1" xfId="0" applyNumberFormat="1" applyFill="1" applyBorder="1"/>
    <xf numFmtId="17" fontId="0" fillId="3" borderId="20" xfId="0" applyNumberFormat="1" applyFill="1" applyBorder="1" applyAlignment="1">
      <alignment horizontal="center" vertical="center"/>
    </xf>
    <xf numFmtId="44" fontId="0" fillId="3" borderId="24" xfId="1" applyFont="1" applyFill="1" applyBorder="1"/>
    <xf numFmtId="166" fontId="0" fillId="0" borderId="0" xfId="0" applyNumberFormat="1" applyBorder="1"/>
    <xf numFmtId="0" fontId="3" fillId="4" borderId="18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44" fontId="0" fillId="0" borderId="15" xfId="0" applyNumberFormat="1" applyBorder="1" applyAlignment="1">
      <alignment horizontal="center" vertical="center"/>
    </xf>
    <xf numFmtId="44" fontId="0" fillId="0" borderId="33" xfId="0" applyNumberFormat="1" applyBorder="1" applyAlignment="1">
      <alignment horizontal="center" vertical="center"/>
    </xf>
    <xf numFmtId="44" fontId="0" fillId="0" borderId="21" xfId="1" applyFont="1" applyFill="1" applyBorder="1" applyAlignment="1">
      <alignment horizontal="center" vertical="center"/>
    </xf>
    <xf numFmtId="0" fontId="16" fillId="3" borderId="12" xfId="0" applyFont="1" applyFill="1" applyBorder="1"/>
    <xf numFmtId="166" fontId="17" fillId="3" borderId="33" xfId="0" applyNumberFormat="1" applyFont="1" applyFill="1" applyBorder="1" applyAlignment="1">
      <alignment horizontal="center" vertical="center"/>
    </xf>
    <xf numFmtId="166" fontId="0" fillId="3" borderId="24" xfId="0" applyNumberFormat="1" applyFill="1" applyBorder="1"/>
    <xf numFmtId="17" fontId="0" fillId="3" borderId="21" xfId="0" applyNumberFormat="1" applyFill="1" applyBorder="1"/>
    <xf numFmtId="0" fontId="5" fillId="4" borderId="1" xfId="0" applyFont="1" applyFill="1" applyBorder="1" applyAlignment="1">
      <alignment horizontal="center" vertical="center" wrapText="1"/>
    </xf>
    <xf numFmtId="44" fontId="0" fillId="0" borderId="25" xfId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44" fontId="0" fillId="5" borderId="1" xfId="1" applyFont="1" applyFill="1" applyBorder="1" applyAlignment="1">
      <alignment horizontal="center" vertical="center"/>
    </xf>
    <xf numFmtId="44" fontId="0" fillId="5" borderId="24" xfId="1" applyFont="1" applyFill="1" applyBorder="1" applyAlignment="1">
      <alignment horizontal="center" vertical="center"/>
    </xf>
    <xf numFmtId="44" fontId="0" fillId="5" borderId="40" xfId="1" applyFont="1" applyFill="1" applyBorder="1" applyAlignment="1">
      <alignment horizontal="center" vertical="center"/>
    </xf>
    <xf numFmtId="44" fontId="0" fillId="5" borderId="45" xfId="1" applyFont="1" applyFill="1" applyBorder="1" applyAlignment="1">
      <alignment horizontal="center" vertical="center"/>
    </xf>
    <xf numFmtId="44" fontId="0" fillId="5" borderId="46" xfId="1" applyFont="1" applyFill="1" applyBorder="1" applyAlignment="1">
      <alignment horizontal="center" vertical="center"/>
    </xf>
    <xf numFmtId="17" fontId="6" fillId="3" borderId="48" xfId="0" applyNumberFormat="1" applyFont="1" applyFill="1" applyBorder="1" applyAlignment="1">
      <alignment horizontal="center" vertical="center"/>
    </xf>
    <xf numFmtId="17" fontId="6" fillId="3" borderId="40" xfId="0" applyNumberFormat="1" applyFont="1" applyFill="1" applyBorder="1" applyAlignment="1">
      <alignment horizontal="center" vertical="center"/>
    </xf>
    <xf numFmtId="17" fontId="6" fillId="3" borderId="49" xfId="0" applyNumberFormat="1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17" fontId="6" fillId="2" borderId="20" xfId="0" applyNumberFormat="1" applyFont="1" applyFill="1" applyBorder="1" applyAlignment="1">
      <alignment horizontal="center" vertical="center"/>
    </xf>
    <xf numFmtId="17" fontId="6" fillId="2" borderId="1" xfId="0" applyNumberFormat="1" applyFont="1" applyFill="1" applyBorder="1" applyAlignment="1">
      <alignment horizontal="center" vertical="center"/>
    </xf>
    <xf numFmtId="17" fontId="6" fillId="2" borderId="15" xfId="0" applyNumberFormat="1" applyFont="1" applyFill="1" applyBorder="1" applyAlignment="1">
      <alignment horizontal="center" vertical="center"/>
    </xf>
    <xf numFmtId="44" fontId="0" fillId="5" borderId="15" xfId="1" applyFont="1" applyFill="1" applyBorder="1" applyAlignment="1">
      <alignment horizontal="center" vertical="center"/>
    </xf>
    <xf numFmtId="44" fontId="0" fillId="5" borderId="33" xfId="1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166" fontId="0" fillId="5" borderId="40" xfId="1" applyNumberFormat="1" applyFont="1" applyFill="1" applyBorder="1" applyAlignment="1">
      <alignment horizontal="center" vertical="center"/>
    </xf>
    <xf numFmtId="166" fontId="0" fillId="5" borderId="45" xfId="1" applyNumberFormat="1" applyFont="1" applyFill="1" applyBorder="1" applyAlignment="1">
      <alignment horizontal="center" vertical="center"/>
    </xf>
    <xf numFmtId="166" fontId="0" fillId="5" borderId="46" xfId="1" applyNumberFormat="1" applyFont="1" applyFill="1" applyBorder="1" applyAlignment="1">
      <alignment horizontal="center" vertical="center"/>
    </xf>
    <xf numFmtId="164" fontId="0" fillId="5" borderId="40" xfId="1" applyNumberFormat="1" applyFont="1" applyFill="1" applyBorder="1" applyAlignment="1">
      <alignment horizontal="center" vertical="center"/>
    </xf>
    <xf numFmtId="164" fontId="0" fillId="5" borderId="45" xfId="1" applyNumberFormat="1" applyFont="1" applyFill="1" applyBorder="1" applyAlignment="1">
      <alignment horizontal="center" vertical="center"/>
    </xf>
    <xf numFmtId="164" fontId="0" fillId="5" borderId="46" xfId="1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" fontId="0" fillId="3" borderId="1" xfId="0" applyNumberFormat="1" applyFill="1" applyBorder="1" applyAlignment="1">
      <alignment horizont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44" fontId="0" fillId="3" borderId="25" xfId="1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20" xfId="0" applyNumberFormat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0" fillId="0" borderId="24" xfId="0" applyNumberFormat="1" applyBorder="1" applyAlignment="1">
      <alignment horizontal="center" vertical="center"/>
    </xf>
    <xf numFmtId="44" fontId="0" fillId="0" borderId="21" xfId="0" applyNumberFormat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44" fontId="0" fillId="4" borderId="1" xfId="1" applyFont="1" applyFill="1" applyBorder="1" applyAlignment="1">
      <alignment horizontal="center" vertical="center"/>
    </xf>
    <xf numFmtId="44" fontId="0" fillId="4" borderId="24" xfId="1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tabSelected="1" topLeftCell="AA1" workbookViewId="0">
      <selection activeCell="AK10" sqref="AK10"/>
    </sheetView>
  </sheetViews>
  <sheetFormatPr baseColWidth="10" defaultRowHeight="15" x14ac:dyDescent="0.25"/>
  <cols>
    <col min="1" max="1" width="22.7109375" customWidth="1"/>
    <col min="2" max="2" width="25.5703125" customWidth="1"/>
    <col min="3" max="3" width="17.5703125" customWidth="1"/>
    <col min="4" max="5" width="15.7109375" customWidth="1"/>
    <col min="6" max="6" width="18.28515625" customWidth="1"/>
    <col min="7" max="7" width="12.7109375" customWidth="1"/>
    <col min="8" max="9" width="15" customWidth="1"/>
    <col min="10" max="10" width="13" customWidth="1"/>
    <col min="11" max="11" width="13.5703125" customWidth="1"/>
    <col min="12" max="12" width="12.28515625" customWidth="1"/>
    <col min="13" max="13" width="14.5703125" bestFit="1" customWidth="1"/>
    <col min="14" max="14" width="13.5703125" bestFit="1" customWidth="1"/>
    <col min="15" max="15" width="13.42578125" customWidth="1"/>
    <col min="16" max="16" width="12.7109375" customWidth="1"/>
    <col min="18" max="18" width="15.140625" customWidth="1"/>
    <col min="19" max="20" width="13.85546875" customWidth="1"/>
    <col min="21" max="22" width="13.140625" customWidth="1"/>
    <col min="23" max="23" width="13.42578125" customWidth="1"/>
    <col min="24" max="34" width="12.42578125" customWidth="1"/>
    <col min="35" max="35" width="14.5703125" customWidth="1"/>
    <col min="36" max="36" width="12.42578125" customWidth="1"/>
    <col min="37" max="38" width="14.7109375" customWidth="1"/>
  </cols>
  <sheetData>
    <row r="1" spans="1:40" ht="35.1" customHeight="1" thickBot="1" x14ac:dyDescent="0.3">
      <c r="A1" s="126" t="s">
        <v>33</v>
      </c>
      <c r="B1" s="127"/>
      <c r="C1" s="127"/>
      <c r="D1" s="127"/>
      <c r="E1" s="127"/>
    </row>
    <row r="2" spans="1:40" ht="35.1" customHeight="1" thickBot="1" x14ac:dyDescent="0.3">
      <c r="A2" s="1"/>
      <c r="B2" s="9"/>
      <c r="C2" s="140" t="s">
        <v>34</v>
      </c>
      <c r="D2" s="141"/>
      <c r="E2" s="141"/>
      <c r="F2" s="142"/>
      <c r="G2" s="148" t="s">
        <v>34</v>
      </c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50"/>
      <c r="T2" s="107" t="s">
        <v>55</v>
      </c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9"/>
    </row>
    <row r="3" spans="1:40" ht="35.1" customHeight="1" thickBot="1" x14ac:dyDescent="0.3">
      <c r="A3" s="11"/>
      <c r="B3" s="9"/>
      <c r="C3" s="128" t="s">
        <v>20</v>
      </c>
      <c r="D3" s="129"/>
      <c r="E3" s="129"/>
      <c r="F3" s="130"/>
      <c r="G3" s="151" t="s">
        <v>27</v>
      </c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3"/>
      <c r="T3" s="120" t="s">
        <v>56</v>
      </c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2"/>
    </row>
    <row r="4" spans="1:40" ht="63" x14ac:dyDescent="0.25">
      <c r="A4" s="40" t="s">
        <v>0</v>
      </c>
      <c r="B4" s="37" t="s">
        <v>4</v>
      </c>
      <c r="C4" s="29" t="s">
        <v>5</v>
      </c>
      <c r="D4" s="29" t="s">
        <v>17</v>
      </c>
      <c r="E4" s="29" t="s">
        <v>19</v>
      </c>
      <c r="F4" s="38" t="s">
        <v>23</v>
      </c>
      <c r="G4" s="42" t="s">
        <v>24</v>
      </c>
      <c r="H4" s="62" t="s">
        <v>25</v>
      </c>
      <c r="I4" s="143" t="s">
        <v>28</v>
      </c>
      <c r="J4" s="143"/>
      <c r="K4" s="62" t="s">
        <v>26</v>
      </c>
      <c r="L4" s="62" t="s">
        <v>41</v>
      </c>
      <c r="M4" s="62" t="s">
        <v>42</v>
      </c>
      <c r="N4" s="61" t="s">
        <v>44</v>
      </c>
      <c r="O4" s="62" t="s">
        <v>47</v>
      </c>
      <c r="P4" s="144" t="s">
        <v>49</v>
      </c>
      <c r="Q4" s="144"/>
      <c r="R4" s="62" t="s">
        <v>60</v>
      </c>
      <c r="S4" s="81" t="s">
        <v>50</v>
      </c>
      <c r="T4" s="73" t="s">
        <v>53</v>
      </c>
      <c r="U4" s="85" t="s">
        <v>51</v>
      </c>
      <c r="V4" s="29" t="s">
        <v>54</v>
      </c>
      <c r="W4" s="85" t="s">
        <v>52</v>
      </c>
      <c r="X4" s="86" t="s">
        <v>64</v>
      </c>
      <c r="Y4" s="87" t="s">
        <v>66</v>
      </c>
      <c r="Z4" s="86" t="s">
        <v>65</v>
      </c>
      <c r="AA4" s="87" t="s">
        <v>67</v>
      </c>
      <c r="AB4" s="87" t="s">
        <v>68</v>
      </c>
      <c r="AC4" s="86" t="s">
        <v>69</v>
      </c>
      <c r="AD4" s="96" t="s">
        <v>70</v>
      </c>
      <c r="AE4" s="86" t="s">
        <v>72</v>
      </c>
      <c r="AF4" s="87" t="s">
        <v>73</v>
      </c>
      <c r="AG4" s="182" t="s">
        <v>71</v>
      </c>
      <c r="AH4" s="183"/>
      <c r="AI4" s="192" t="s">
        <v>78</v>
      </c>
      <c r="AJ4" s="191" t="s">
        <v>80</v>
      </c>
      <c r="AK4" s="87" t="s">
        <v>79</v>
      </c>
      <c r="AL4" s="88" t="s">
        <v>77</v>
      </c>
    </row>
    <row r="5" spans="1:40" x14ac:dyDescent="0.25">
      <c r="A5" s="41" t="s">
        <v>1</v>
      </c>
      <c r="B5" s="39">
        <v>81317</v>
      </c>
      <c r="C5" s="8">
        <f>(B5*15)/100+B5</f>
        <v>93514.55</v>
      </c>
      <c r="D5" s="8">
        <f>(B5*25)/100+B5</f>
        <v>101646.25</v>
      </c>
      <c r="E5" s="8">
        <f>(B5*35)/100+B5</f>
        <v>109777.95</v>
      </c>
      <c r="F5" s="19">
        <f>(B5*57.82)/100+B5</f>
        <v>128334.48940000001</v>
      </c>
      <c r="G5" s="10">
        <f>(F5*10)/100+F5</f>
        <v>141167.93833999999</v>
      </c>
      <c r="H5" s="7">
        <f>(F5*20)/100+F5</f>
        <v>154001.38728</v>
      </c>
      <c r="I5" s="162">
        <v>9265</v>
      </c>
      <c r="J5" s="117">
        <v>83284.399999999994</v>
      </c>
      <c r="K5" s="7">
        <f>(F5*30)/100+F5</f>
        <v>166834.83622</v>
      </c>
      <c r="L5" s="18">
        <f>F5*45/100+F5</f>
        <v>186085.00963000002</v>
      </c>
      <c r="M5" s="27">
        <f>F5*60/100+F5</f>
        <v>205335.18304</v>
      </c>
      <c r="N5" s="159">
        <v>32038</v>
      </c>
      <c r="O5" s="18">
        <f>F5*70/100+F5</f>
        <v>218168.63198000001</v>
      </c>
      <c r="P5" s="18">
        <f>F5*80/100+F5</f>
        <v>231002.08092000001</v>
      </c>
      <c r="Q5" s="54">
        <f>F5*19/100</f>
        <v>24383.552986000002</v>
      </c>
      <c r="R5" s="18">
        <f>F5*108.8/100+F5</f>
        <v>267962.41386720003</v>
      </c>
      <c r="S5" s="154">
        <v>18453</v>
      </c>
      <c r="T5" s="17">
        <f>R5*11/100+R5</f>
        <v>297438.27939259203</v>
      </c>
      <c r="U5" s="115">
        <v>83618</v>
      </c>
      <c r="V5" s="6">
        <f>R5*25/100+R5</f>
        <v>334953.01733400003</v>
      </c>
      <c r="W5" s="115">
        <v>83617</v>
      </c>
      <c r="X5" s="117">
        <v>55187.5</v>
      </c>
      <c r="Y5" s="6">
        <f>R5*40/100+R5</f>
        <v>375147.37941408006</v>
      </c>
      <c r="Z5" s="117">
        <v>55187.5</v>
      </c>
      <c r="AA5" s="6">
        <f>R5*52.5/100+R5</f>
        <v>408642.68114748003</v>
      </c>
      <c r="AB5" s="6">
        <f>R5*70/100+R5</f>
        <v>455536.10357424</v>
      </c>
      <c r="AC5" s="117">
        <v>20066</v>
      </c>
      <c r="AD5" s="6">
        <f>R5*93.1/100+R5</f>
        <v>517435.42117756326</v>
      </c>
      <c r="AE5" s="117">
        <v>17524</v>
      </c>
      <c r="AF5" s="6">
        <f>R5*148.1/100+R5</f>
        <v>664814.74880452326</v>
      </c>
      <c r="AG5" s="117">
        <v>20066</v>
      </c>
      <c r="AH5" s="117">
        <v>53515</v>
      </c>
      <c r="AI5" s="193">
        <f>R5*184.5/100+R5</f>
        <v>762353.06745218404</v>
      </c>
      <c r="AJ5" s="117">
        <v>48698</v>
      </c>
      <c r="AK5" s="6">
        <f>R5*197/100+R5</f>
        <v>795848.36918558402</v>
      </c>
      <c r="AL5" s="77">
        <f>R5*212/100+R5</f>
        <v>836042.7312656641</v>
      </c>
    </row>
    <row r="6" spans="1:40" x14ac:dyDescent="0.25">
      <c r="A6" s="41" t="s">
        <v>2</v>
      </c>
      <c r="B6" s="39">
        <v>97051</v>
      </c>
      <c r="C6" s="8">
        <f>(B6*15)/100+B6</f>
        <v>111608.65</v>
      </c>
      <c r="D6" s="8">
        <f>(B6*25)/100+B6</f>
        <v>121313.75</v>
      </c>
      <c r="E6" s="8">
        <f>(B6*35)/100+B6</f>
        <v>131018.85</v>
      </c>
      <c r="F6" s="19">
        <f>(B6*57.82)/100+B6</f>
        <v>153165.88819999999</v>
      </c>
      <c r="G6" s="10">
        <f t="shared" ref="G6:G7" si="0">(F6*10)/100+F6</f>
        <v>168482.47701999999</v>
      </c>
      <c r="H6" s="7">
        <f t="shared" ref="H6:H7" si="1">(F6*20)/100+F6</f>
        <v>183799.06584</v>
      </c>
      <c r="I6" s="163"/>
      <c r="J6" s="118"/>
      <c r="K6" s="7">
        <f t="shared" ref="K6:K7" si="2">(F6*30)/100+F6</f>
        <v>199115.65466</v>
      </c>
      <c r="L6" s="18">
        <f t="shared" ref="L6:L7" si="3">F6*45/100+F6</f>
        <v>222090.53788999998</v>
      </c>
      <c r="M6" s="27">
        <f t="shared" ref="M6:M7" si="4">F6*60/100+F6</f>
        <v>245065.42111999998</v>
      </c>
      <c r="N6" s="160"/>
      <c r="O6" s="18">
        <f t="shared" ref="O6:O7" si="5">F6*70/100+F6</f>
        <v>260382.00993999996</v>
      </c>
      <c r="P6" s="18">
        <f t="shared" ref="P6:P7" si="6">F6*80/100+F6</f>
        <v>275698.59875999996</v>
      </c>
      <c r="Q6" s="54">
        <f t="shared" ref="Q6:Q8" si="7">F6*19/100</f>
        <v>29101.518757999995</v>
      </c>
      <c r="R6" s="18">
        <f t="shared" ref="R6:R8" si="8">F6*108.8/100+F6</f>
        <v>319810.37456159992</v>
      </c>
      <c r="S6" s="154"/>
      <c r="T6" s="17">
        <f t="shared" ref="T6:T8" si="9">R6*11/100+R6</f>
        <v>354989.51576337591</v>
      </c>
      <c r="U6" s="115"/>
      <c r="V6" s="6">
        <f t="shared" ref="V6:V8" si="10">R6*25/100+R6</f>
        <v>399762.9682019999</v>
      </c>
      <c r="W6" s="115"/>
      <c r="X6" s="118"/>
      <c r="Y6" s="6">
        <f t="shared" ref="Y6:Y8" si="11">R6*40/100+R6</f>
        <v>447734.52438623988</v>
      </c>
      <c r="Z6" s="118"/>
      <c r="AA6" s="6">
        <f t="shared" ref="AA6:AA8" si="12">R6*52.5/100+R6</f>
        <v>487710.82120643987</v>
      </c>
      <c r="AB6" s="6">
        <f t="shared" ref="AB6:AB8" si="13">R6*70/100+R6</f>
        <v>543677.63675471989</v>
      </c>
      <c r="AC6" s="118"/>
      <c r="AD6" s="6">
        <f t="shared" ref="AD6:AD8" si="14">R6*93.1/100+R6</f>
        <v>617553.83327844949</v>
      </c>
      <c r="AE6" s="118"/>
      <c r="AF6" s="6">
        <f t="shared" ref="AF6:AF8" si="15">R6*148.1/100+R6</f>
        <v>793449.53928732942</v>
      </c>
      <c r="AG6" s="118"/>
      <c r="AH6" s="118"/>
      <c r="AI6" s="193">
        <f t="shared" ref="AI6:AI8" si="16">R6*184.5/100+R6</f>
        <v>909860.51562775183</v>
      </c>
      <c r="AJ6" s="118"/>
      <c r="AK6" s="6">
        <f t="shared" ref="AK6:AK8" si="17">R6*197/100+R6</f>
        <v>949836.81244795176</v>
      </c>
      <c r="AL6" s="77">
        <f t="shared" ref="AL6:AL8" si="18">R6*212/100+R6</f>
        <v>997808.36863219168</v>
      </c>
    </row>
    <row r="7" spans="1:40" ht="15.75" thickBot="1" x14ac:dyDescent="0.3">
      <c r="A7" s="43" t="s">
        <v>3</v>
      </c>
      <c r="B7" s="44">
        <v>115060</v>
      </c>
      <c r="C7" s="45">
        <f>(B7*15)/100+B7</f>
        <v>132319</v>
      </c>
      <c r="D7" s="45">
        <f>(B7*25)/100+B7</f>
        <v>143825</v>
      </c>
      <c r="E7" s="45">
        <f>(B7*35)/100+B7</f>
        <v>155331</v>
      </c>
      <c r="F7" s="46">
        <f>(B7*57.82)/100+B7</f>
        <v>181587.69199999998</v>
      </c>
      <c r="G7" s="10">
        <f t="shared" si="0"/>
        <v>199746.46119999999</v>
      </c>
      <c r="H7" s="7">
        <f t="shared" si="1"/>
        <v>217905.23039999997</v>
      </c>
      <c r="I7" s="163"/>
      <c r="J7" s="118"/>
      <c r="K7" s="7">
        <f t="shared" si="2"/>
        <v>236063.99959999998</v>
      </c>
      <c r="L7" s="18">
        <f t="shared" si="3"/>
        <v>263302.15339999995</v>
      </c>
      <c r="M7" s="27">
        <f t="shared" si="4"/>
        <v>290540.30719999998</v>
      </c>
      <c r="N7" s="160"/>
      <c r="O7" s="18">
        <f t="shared" si="5"/>
        <v>308699.07639999996</v>
      </c>
      <c r="P7" s="18">
        <f t="shared" si="6"/>
        <v>326857.8456</v>
      </c>
      <c r="Q7" s="54">
        <f t="shared" si="7"/>
        <v>34501.661479999995</v>
      </c>
      <c r="R7" s="18">
        <f t="shared" si="8"/>
        <v>379155.10089599993</v>
      </c>
      <c r="S7" s="154"/>
      <c r="T7" s="17">
        <f t="shared" si="9"/>
        <v>420862.16199455992</v>
      </c>
      <c r="U7" s="115"/>
      <c r="V7" s="6">
        <f t="shared" si="10"/>
        <v>473943.87611999991</v>
      </c>
      <c r="W7" s="115"/>
      <c r="X7" s="118"/>
      <c r="Y7" s="6">
        <f t="shared" si="11"/>
        <v>530817.1412543999</v>
      </c>
      <c r="Z7" s="118"/>
      <c r="AA7" s="6">
        <f t="shared" si="12"/>
        <v>578211.52886639989</v>
      </c>
      <c r="AB7" s="6">
        <f t="shared" si="13"/>
        <v>644563.67152319988</v>
      </c>
      <c r="AC7" s="118"/>
      <c r="AD7" s="6">
        <f t="shared" si="14"/>
        <v>732148.49983017589</v>
      </c>
      <c r="AE7" s="118"/>
      <c r="AF7" s="6">
        <f t="shared" si="15"/>
        <v>940683.80532297574</v>
      </c>
      <c r="AG7" s="118"/>
      <c r="AH7" s="118"/>
      <c r="AI7" s="193">
        <f t="shared" si="16"/>
        <v>1078696.2620491197</v>
      </c>
      <c r="AJ7" s="118"/>
      <c r="AK7" s="6">
        <f t="shared" si="17"/>
        <v>1126090.6496611198</v>
      </c>
      <c r="AL7" s="77">
        <f t="shared" si="18"/>
        <v>1182963.9147955198</v>
      </c>
    </row>
    <row r="8" spans="1:40" ht="15.75" thickBot="1" x14ac:dyDescent="0.3">
      <c r="A8" s="47" t="s">
        <v>48</v>
      </c>
      <c r="B8" s="48">
        <f t="shared" ref="B8:H8" si="19">B5/25</f>
        <v>3252.68</v>
      </c>
      <c r="C8" s="49">
        <f t="shared" si="19"/>
        <v>3740.5820000000003</v>
      </c>
      <c r="D8" s="49">
        <f t="shared" si="19"/>
        <v>4065.85</v>
      </c>
      <c r="E8" s="49">
        <f t="shared" si="19"/>
        <v>4391.1179999999995</v>
      </c>
      <c r="F8" s="50">
        <f t="shared" si="19"/>
        <v>5133.3795760000003</v>
      </c>
      <c r="G8" s="55">
        <f t="shared" si="19"/>
        <v>5646.7175336</v>
      </c>
      <c r="H8" s="56">
        <f t="shared" si="19"/>
        <v>6160.0554911999998</v>
      </c>
      <c r="I8" s="164"/>
      <c r="J8" s="119"/>
      <c r="K8" s="56">
        <f>K5/25</f>
        <v>6673.3934487999995</v>
      </c>
      <c r="L8" s="56">
        <f>L5/25</f>
        <v>7443.4003852000005</v>
      </c>
      <c r="M8" s="56">
        <f>M5/25</f>
        <v>8213.4073215999997</v>
      </c>
      <c r="N8" s="161"/>
      <c r="O8" s="56">
        <f>O5/25</f>
        <v>8726.7452792000004</v>
      </c>
      <c r="P8" s="56">
        <f>P5/25</f>
        <v>9240.083236800001</v>
      </c>
      <c r="Q8" s="57">
        <f t="shared" si="7"/>
        <v>975.34211944000015</v>
      </c>
      <c r="R8" s="80">
        <f t="shared" si="8"/>
        <v>10718.496554688001</v>
      </c>
      <c r="S8" s="155"/>
      <c r="T8" s="82">
        <f t="shared" si="9"/>
        <v>11897.531175703682</v>
      </c>
      <c r="U8" s="116"/>
      <c r="V8" s="83">
        <f t="shared" si="10"/>
        <v>13398.120693360001</v>
      </c>
      <c r="W8" s="116"/>
      <c r="X8" s="119"/>
      <c r="Y8" s="83">
        <f t="shared" si="11"/>
        <v>15005.895176563201</v>
      </c>
      <c r="Z8" s="119"/>
      <c r="AA8" s="83">
        <f t="shared" si="12"/>
        <v>16345.707245899201</v>
      </c>
      <c r="AB8" s="83">
        <f t="shared" si="13"/>
        <v>18221.444142969602</v>
      </c>
      <c r="AC8" s="119"/>
      <c r="AD8" s="83">
        <f t="shared" si="14"/>
        <v>20697.41684710253</v>
      </c>
      <c r="AE8" s="119"/>
      <c r="AF8" s="83">
        <f t="shared" si="15"/>
        <v>26592.58995218093</v>
      </c>
      <c r="AG8" s="119"/>
      <c r="AH8" s="119"/>
      <c r="AI8" s="194">
        <f t="shared" si="16"/>
        <v>30494.122698087365</v>
      </c>
      <c r="AJ8" s="119"/>
      <c r="AK8" s="83">
        <f t="shared" si="17"/>
        <v>31833.934767423365</v>
      </c>
      <c r="AL8" s="84">
        <f t="shared" si="18"/>
        <v>33441.709250626562</v>
      </c>
    </row>
    <row r="9" spans="1:40" ht="15.75" thickBot="1" x14ac:dyDescent="0.3">
      <c r="K9" s="3"/>
      <c r="N9" s="60"/>
      <c r="AG9" s="184"/>
      <c r="AH9" t="s">
        <v>74</v>
      </c>
    </row>
    <row r="10" spans="1:40" ht="35.1" customHeight="1" thickBot="1" x14ac:dyDescent="0.3">
      <c r="A10" s="131" t="s">
        <v>22</v>
      </c>
      <c r="B10" s="132"/>
      <c r="C10" s="132"/>
      <c r="D10" s="132"/>
      <c r="E10" s="132"/>
      <c r="F10" s="132"/>
      <c r="G10" s="133"/>
      <c r="H10" s="145" t="s">
        <v>29</v>
      </c>
      <c r="I10" s="146"/>
      <c r="J10" s="146"/>
      <c r="K10" s="146"/>
      <c r="L10" s="146"/>
      <c r="M10" s="146"/>
      <c r="N10" s="146"/>
      <c r="O10" s="146"/>
      <c r="P10" s="147"/>
      <c r="Q10" s="148" t="s">
        <v>57</v>
      </c>
      <c r="R10" s="149"/>
      <c r="S10" s="149"/>
      <c r="T10" s="149"/>
      <c r="U10" s="149"/>
      <c r="V10" s="149"/>
      <c r="W10" s="149"/>
      <c r="X10" s="149"/>
      <c r="Y10" s="149"/>
      <c r="Z10" s="180"/>
      <c r="AJ10" s="60"/>
    </row>
    <row r="11" spans="1:40" ht="63" x14ac:dyDescent="0.25">
      <c r="A11" s="71" t="s">
        <v>35</v>
      </c>
      <c r="B11" s="72" t="s">
        <v>6</v>
      </c>
      <c r="C11" s="37" t="s">
        <v>18</v>
      </c>
      <c r="D11" s="29" t="s">
        <v>5</v>
      </c>
      <c r="E11" s="29" t="s">
        <v>17</v>
      </c>
      <c r="F11" s="29" t="s">
        <v>19</v>
      </c>
      <c r="G11" s="76" t="s">
        <v>21</v>
      </c>
      <c r="H11" s="73" t="s">
        <v>24</v>
      </c>
      <c r="I11" s="29" t="s">
        <v>25</v>
      </c>
      <c r="J11" s="29" t="s">
        <v>26</v>
      </c>
      <c r="K11" s="29" t="s">
        <v>41</v>
      </c>
      <c r="L11" s="29" t="s">
        <v>42</v>
      </c>
      <c r="M11" s="29" t="s">
        <v>43</v>
      </c>
      <c r="N11" s="29" t="s">
        <v>63</v>
      </c>
      <c r="O11" s="74" t="s">
        <v>45</v>
      </c>
      <c r="P11" s="97" t="s">
        <v>62</v>
      </c>
      <c r="Q11" s="42" t="s">
        <v>58</v>
      </c>
      <c r="R11" s="105" t="s">
        <v>59</v>
      </c>
      <c r="S11" s="178" t="s">
        <v>66</v>
      </c>
      <c r="T11" s="178" t="s">
        <v>67</v>
      </c>
      <c r="U11" s="178" t="s">
        <v>68</v>
      </c>
      <c r="V11" s="179" t="s">
        <v>70</v>
      </c>
      <c r="W11" s="178" t="s">
        <v>73</v>
      </c>
      <c r="X11" s="185" t="s">
        <v>75</v>
      </c>
      <c r="Y11" s="178" t="s">
        <v>76</v>
      </c>
      <c r="Z11" s="181" t="s">
        <v>77</v>
      </c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</row>
    <row r="12" spans="1:40" ht="45" x14ac:dyDescent="0.25">
      <c r="A12" s="15" t="s">
        <v>7</v>
      </c>
      <c r="B12" s="13" t="s">
        <v>12</v>
      </c>
      <c r="C12" s="12">
        <v>830</v>
      </c>
      <c r="D12" s="6">
        <v>955</v>
      </c>
      <c r="E12" s="6">
        <v>1038</v>
      </c>
      <c r="F12" s="6">
        <v>1121</v>
      </c>
      <c r="G12" s="77">
        <f>(C12*57.82)/100+C12</f>
        <v>1309.9059999999999</v>
      </c>
      <c r="H12" s="17">
        <f>(G12*10)/100+G12</f>
        <v>1440.8966</v>
      </c>
      <c r="I12" s="6">
        <f t="shared" ref="I12:I16" si="20">(G12*20)/100+G12</f>
        <v>1571.8871999999999</v>
      </c>
      <c r="J12" s="6">
        <f t="shared" ref="J12:J16" si="21">(G12*30)/100+G12</f>
        <v>1702.8778</v>
      </c>
      <c r="K12" s="28">
        <f>G12*45/100+G12</f>
        <v>1899.3636999999999</v>
      </c>
      <c r="L12" s="28">
        <f>G12*60/100+G12</f>
        <v>2095.8496</v>
      </c>
      <c r="M12" s="28">
        <f>G12*70/100+G12</f>
        <v>2226.8402000000001</v>
      </c>
      <c r="N12" s="28">
        <f>G12*80/100+G12</f>
        <v>2357.8307999999997</v>
      </c>
      <c r="O12" s="89">
        <f>H12*19/100</f>
        <v>273.770354</v>
      </c>
      <c r="P12" s="98">
        <f>G12*108.8/100+G12</f>
        <v>2735.0837279999996</v>
      </c>
      <c r="Q12" s="187">
        <f>P12*11/100+P12</f>
        <v>3035.9429380799997</v>
      </c>
      <c r="R12" s="28">
        <f>P12*25/100+P12</f>
        <v>3418.8546599999995</v>
      </c>
      <c r="S12" s="6">
        <f>P12*40/100+P12</f>
        <v>3829.1172191999995</v>
      </c>
      <c r="T12" s="6">
        <f>P12*52.5/100+P12</f>
        <v>4171.0026851999992</v>
      </c>
      <c r="U12" s="6">
        <v>4651</v>
      </c>
      <c r="V12" s="6">
        <v>5283</v>
      </c>
      <c r="W12" s="6">
        <f>P12*148.1/100+P12</f>
        <v>6785.7427291679987</v>
      </c>
      <c r="X12" s="28">
        <f>P12*184.5/100+P12</f>
        <v>7781.313206159999</v>
      </c>
      <c r="Y12" s="6">
        <f>P12*197/100+P12</f>
        <v>8123.1986721599997</v>
      </c>
      <c r="Z12" s="100">
        <f>P12*212/100+P12</f>
        <v>8533.4612313599973</v>
      </c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63"/>
      <c r="AN12" s="63"/>
    </row>
    <row r="13" spans="1:40" ht="60" x14ac:dyDescent="0.25">
      <c r="A13" s="15" t="s">
        <v>8</v>
      </c>
      <c r="B13" s="13" t="s">
        <v>13</v>
      </c>
      <c r="C13" s="12">
        <v>1510</v>
      </c>
      <c r="D13" s="6">
        <f>(C13*15)/100+C13</f>
        <v>1736.5</v>
      </c>
      <c r="E13" s="6">
        <f>(C13*25)/100+C13</f>
        <v>1887.5</v>
      </c>
      <c r="F13" s="6">
        <f>(C13*35)/100+C13</f>
        <v>2038.5</v>
      </c>
      <c r="G13" s="77">
        <f>(C13*57.82)/100+C13</f>
        <v>2383.0819999999999</v>
      </c>
      <c r="H13" s="17">
        <f t="shared" ref="H13:H16" si="22">(G13*10)/100+G13</f>
        <v>2621.3901999999998</v>
      </c>
      <c r="I13" s="6">
        <f t="shared" si="20"/>
        <v>2859.6983999999998</v>
      </c>
      <c r="J13" s="6">
        <f t="shared" si="21"/>
        <v>3098.0065999999997</v>
      </c>
      <c r="K13" s="28">
        <f t="shared" ref="K13:K16" si="23">G13*45/100+G13</f>
        <v>3455.4688999999998</v>
      </c>
      <c r="L13" s="28">
        <f t="shared" ref="L13:L16" si="24">G13*60/100+G13</f>
        <v>3812.9312</v>
      </c>
      <c r="M13" s="28">
        <f t="shared" ref="M13:M16" si="25">G13*70/100+G13</f>
        <v>4051.2393999999995</v>
      </c>
      <c r="N13" s="28">
        <f t="shared" ref="N13:N16" si="26">G13*80/100+G13</f>
        <v>4289.5475999999999</v>
      </c>
      <c r="O13" s="89">
        <f t="shared" ref="O13:O16" si="27">H13*19/100</f>
        <v>498.06413799999996</v>
      </c>
      <c r="P13" s="98">
        <f t="shared" ref="P13:P17" si="28">G13*108.8/100+G13</f>
        <v>4975.8752159999995</v>
      </c>
      <c r="Q13" s="187">
        <f t="shared" ref="Q13:Q16" si="29">P13*11/100+P13</f>
        <v>5523.2214897599997</v>
      </c>
      <c r="R13" s="28">
        <f t="shared" ref="R13:R16" si="30">P13*25/100+P13</f>
        <v>6219.8440199999995</v>
      </c>
      <c r="S13" s="6">
        <f t="shared" ref="S13:S17" si="31">P13*40/100+P13</f>
        <v>6966.2253023999992</v>
      </c>
      <c r="T13" s="6">
        <f t="shared" ref="T13:T17" si="32">P13*52.5/100+P13</f>
        <v>7588.2097043999993</v>
      </c>
      <c r="U13" s="6">
        <v>8457</v>
      </c>
      <c r="V13" s="6">
        <v>9606</v>
      </c>
      <c r="W13" s="6">
        <f t="shared" ref="W13:W17" si="33">P13*148.1/100+P13</f>
        <v>12345.146410895999</v>
      </c>
      <c r="X13" s="28">
        <f t="shared" ref="X13:X17" si="34">P13*184.5/100+P13</f>
        <v>14156.36498952</v>
      </c>
      <c r="Y13" s="6">
        <f t="shared" ref="Y13:Y17" si="35">P13*197/100+P13</f>
        <v>14778.349391519998</v>
      </c>
      <c r="Z13" s="100">
        <f t="shared" ref="Z13:Z17" si="36">P13*212/100+P13</f>
        <v>15524.730673919999</v>
      </c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63"/>
      <c r="AN13" s="63"/>
    </row>
    <row r="14" spans="1:40" x14ac:dyDescent="0.25">
      <c r="A14" s="16" t="s">
        <v>9</v>
      </c>
      <c r="B14" s="14" t="s">
        <v>14</v>
      </c>
      <c r="C14" s="12">
        <v>4828</v>
      </c>
      <c r="D14" s="6">
        <f>(C14*15)/100+C14</f>
        <v>5552.2</v>
      </c>
      <c r="E14" s="6">
        <f>(C14*25)/100+C14</f>
        <v>6035</v>
      </c>
      <c r="F14" s="6">
        <f>(C14*35)/100+C14</f>
        <v>6517.8</v>
      </c>
      <c r="G14" s="77">
        <f>(C14*57.82)/100+C14</f>
        <v>7619.5496000000003</v>
      </c>
      <c r="H14" s="17">
        <f t="shared" si="22"/>
        <v>8381.5045600000012</v>
      </c>
      <c r="I14" s="6">
        <f t="shared" si="20"/>
        <v>9143.4595200000003</v>
      </c>
      <c r="J14" s="6">
        <f t="shared" si="21"/>
        <v>9905.4144799999995</v>
      </c>
      <c r="K14" s="28">
        <f t="shared" si="23"/>
        <v>11048.34692</v>
      </c>
      <c r="L14" s="28">
        <f t="shared" si="24"/>
        <v>12191.27936</v>
      </c>
      <c r="M14" s="28">
        <f t="shared" si="25"/>
        <v>12953.234320000001</v>
      </c>
      <c r="N14" s="28">
        <f t="shared" si="26"/>
        <v>13715.189280000001</v>
      </c>
      <c r="O14" s="89">
        <f t="shared" si="27"/>
        <v>1592.4858664000003</v>
      </c>
      <c r="P14" s="98">
        <f t="shared" si="28"/>
        <v>15909.619564799999</v>
      </c>
      <c r="Q14" s="187">
        <f t="shared" si="29"/>
        <v>17659.677716927999</v>
      </c>
      <c r="R14" s="28">
        <f t="shared" si="30"/>
        <v>19887.024455999999</v>
      </c>
      <c r="S14" s="6">
        <f t="shared" si="31"/>
        <v>22273.467390719998</v>
      </c>
      <c r="T14" s="6">
        <f t="shared" si="32"/>
        <v>24262.169836319998</v>
      </c>
      <c r="U14" s="6">
        <v>27043</v>
      </c>
      <c r="V14" s="6">
        <v>30718</v>
      </c>
      <c r="W14" s="6">
        <f t="shared" si="33"/>
        <v>39471.766140268795</v>
      </c>
      <c r="X14" s="28">
        <f t="shared" si="34"/>
        <v>45262.867661855998</v>
      </c>
      <c r="Y14" s="6">
        <f t="shared" si="35"/>
        <v>47251.570107455991</v>
      </c>
      <c r="Z14" s="100">
        <f t="shared" si="36"/>
        <v>49638.013042175997</v>
      </c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63"/>
      <c r="AN14" s="63"/>
    </row>
    <row r="15" spans="1:40" ht="30" x14ac:dyDescent="0.25">
      <c r="A15" s="15" t="s">
        <v>10</v>
      </c>
      <c r="B15" s="13" t="s">
        <v>15</v>
      </c>
      <c r="C15" s="12">
        <v>1011</v>
      </c>
      <c r="D15" s="6">
        <f>(C15*15)/100+C15</f>
        <v>1162.6500000000001</v>
      </c>
      <c r="E15" s="6">
        <f>(C15*25)/100+C15</f>
        <v>1263.75</v>
      </c>
      <c r="F15" s="6">
        <f>(C15*35)/100+C15</f>
        <v>1364.85</v>
      </c>
      <c r="G15" s="77">
        <f>(C15*57.82)/100+C15</f>
        <v>1595.5601999999999</v>
      </c>
      <c r="H15" s="17">
        <f t="shared" si="22"/>
        <v>1755.1162199999999</v>
      </c>
      <c r="I15" s="6">
        <f t="shared" si="20"/>
        <v>1914.6722399999999</v>
      </c>
      <c r="J15" s="6">
        <f t="shared" si="21"/>
        <v>2074.2282599999999</v>
      </c>
      <c r="K15" s="90">
        <v>2873</v>
      </c>
      <c r="L15" s="90">
        <v>2873</v>
      </c>
      <c r="M15" s="90">
        <v>2873</v>
      </c>
      <c r="N15" s="90">
        <v>2873</v>
      </c>
      <c r="O15" s="89">
        <f t="shared" si="27"/>
        <v>333.47208180000001</v>
      </c>
      <c r="P15" s="98">
        <f t="shared" si="28"/>
        <v>3331.5296976</v>
      </c>
      <c r="Q15" s="187">
        <f t="shared" si="29"/>
        <v>3697.9979643360002</v>
      </c>
      <c r="R15" s="28">
        <f t="shared" si="30"/>
        <v>4164.4121219999997</v>
      </c>
      <c r="S15" s="6">
        <v>6914</v>
      </c>
      <c r="T15" s="6">
        <v>6914</v>
      </c>
      <c r="U15" s="6">
        <v>7414</v>
      </c>
      <c r="V15" s="6">
        <v>7851</v>
      </c>
      <c r="W15" s="6">
        <v>9184</v>
      </c>
      <c r="X15" s="28">
        <v>10396</v>
      </c>
      <c r="Y15" s="28">
        <v>10396</v>
      </c>
      <c r="Z15" s="190">
        <v>10396</v>
      </c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63"/>
      <c r="AN15" s="63"/>
    </row>
    <row r="16" spans="1:40" ht="30" x14ac:dyDescent="0.25">
      <c r="A16" s="65" t="s">
        <v>11</v>
      </c>
      <c r="B16" s="66" t="s">
        <v>16</v>
      </c>
      <c r="C16" s="67">
        <v>3543</v>
      </c>
      <c r="D16" s="68">
        <f>(C16*15)/100+C16</f>
        <v>4074.45</v>
      </c>
      <c r="E16" s="68">
        <f>(C16*25)/100+C16</f>
        <v>4428.75</v>
      </c>
      <c r="F16" s="68">
        <f>(C16*35)/100+C16</f>
        <v>4783.05</v>
      </c>
      <c r="G16" s="78">
        <f>(C16*57.82)/100+C16</f>
        <v>5591.5626000000002</v>
      </c>
      <c r="H16" s="69">
        <f t="shared" si="22"/>
        <v>6150.7188599999999</v>
      </c>
      <c r="I16" s="68">
        <f t="shared" si="20"/>
        <v>6709.8751200000006</v>
      </c>
      <c r="J16" s="68">
        <f t="shared" si="21"/>
        <v>7269.0313800000004</v>
      </c>
      <c r="K16" s="70">
        <f t="shared" si="23"/>
        <v>8107.76577</v>
      </c>
      <c r="L16" s="70">
        <f t="shared" si="24"/>
        <v>8946.5001599999996</v>
      </c>
      <c r="M16" s="70">
        <f t="shared" si="25"/>
        <v>9505.6564200000012</v>
      </c>
      <c r="N16" s="70">
        <f t="shared" si="26"/>
        <v>10064.812680000001</v>
      </c>
      <c r="O16" s="91">
        <f t="shared" si="27"/>
        <v>1168.6365833999998</v>
      </c>
      <c r="P16" s="98">
        <f t="shared" si="28"/>
        <v>11675.182708799999</v>
      </c>
      <c r="Q16" s="187">
        <f t="shared" si="29"/>
        <v>12959.452806767998</v>
      </c>
      <c r="R16" s="28">
        <f t="shared" si="30"/>
        <v>14593.978385999999</v>
      </c>
      <c r="S16" s="6">
        <f t="shared" si="31"/>
        <v>16345.255792319998</v>
      </c>
      <c r="T16" s="6">
        <f t="shared" si="32"/>
        <v>17804.653630919998</v>
      </c>
      <c r="U16" s="6">
        <v>19849</v>
      </c>
      <c r="V16" s="6">
        <v>22546</v>
      </c>
      <c r="W16" s="6">
        <f t="shared" si="33"/>
        <v>28966.128300532797</v>
      </c>
      <c r="X16" s="28">
        <f t="shared" si="34"/>
        <v>33215.894806535995</v>
      </c>
      <c r="Y16" s="6">
        <f t="shared" si="35"/>
        <v>34675.292645135996</v>
      </c>
      <c r="Z16" s="100">
        <f t="shared" si="36"/>
        <v>36426.570051456001</v>
      </c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63"/>
      <c r="AN16" s="63"/>
    </row>
    <row r="17" spans="1:40" ht="15.75" thickBot="1" x14ac:dyDescent="0.3">
      <c r="A17" s="75" t="s">
        <v>61</v>
      </c>
      <c r="B17" s="58"/>
      <c r="C17" s="58"/>
      <c r="D17" s="58"/>
      <c r="E17" s="58"/>
      <c r="F17" s="58"/>
      <c r="G17" s="79">
        <v>7262</v>
      </c>
      <c r="H17" s="82">
        <f>G17*10/100+G17</f>
        <v>7988.2</v>
      </c>
      <c r="I17" s="83">
        <f>G17*20/100+G17</f>
        <v>8714.4</v>
      </c>
      <c r="J17" s="83">
        <f>G17*30/100+G17</f>
        <v>9440.6</v>
      </c>
      <c r="K17" s="83">
        <f>G17*45/100+G17</f>
        <v>10529.9</v>
      </c>
      <c r="L17" s="83">
        <f>G17*60/100+G17</f>
        <v>11619.2</v>
      </c>
      <c r="M17" s="83">
        <v>11619</v>
      </c>
      <c r="N17" s="83">
        <v>11619</v>
      </c>
      <c r="O17" s="83">
        <v>11619</v>
      </c>
      <c r="P17" s="99">
        <f t="shared" si="28"/>
        <v>15163.056</v>
      </c>
      <c r="Q17" s="82">
        <v>15163.17</v>
      </c>
      <c r="R17" s="83">
        <v>18954</v>
      </c>
      <c r="S17" s="83">
        <f t="shared" si="31"/>
        <v>21228.278399999999</v>
      </c>
      <c r="T17" s="83">
        <f t="shared" si="32"/>
        <v>23123.660400000001</v>
      </c>
      <c r="U17" s="83">
        <f t="shared" ref="U17" si="37">P17*70/100+P17</f>
        <v>25777.195200000002</v>
      </c>
      <c r="V17" s="83">
        <f>P17*93.1/100+P17</f>
        <v>29279.861136</v>
      </c>
      <c r="W17" s="83">
        <f t="shared" si="33"/>
        <v>37619.541935999994</v>
      </c>
      <c r="X17" s="189">
        <f t="shared" si="34"/>
        <v>43138.894319999999</v>
      </c>
      <c r="Y17" s="83">
        <f t="shared" si="35"/>
        <v>45034.276320000004</v>
      </c>
      <c r="Z17" s="106">
        <f t="shared" si="36"/>
        <v>47308.73472</v>
      </c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63"/>
      <c r="AN17" s="63"/>
    </row>
    <row r="18" spans="1:40" ht="15.75" thickBot="1" x14ac:dyDescent="0.3">
      <c r="G18" s="63"/>
      <c r="H18" s="63"/>
      <c r="I18" s="63"/>
      <c r="J18" s="63"/>
      <c r="K18" s="64"/>
      <c r="L18" s="63"/>
      <c r="M18" s="63"/>
      <c r="N18" s="63"/>
      <c r="O18" s="63"/>
      <c r="P18" s="63"/>
      <c r="Q18" s="63"/>
      <c r="R18" s="63"/>
    </row>
    <row r="19" spans="1:40" ht="35.1" customHeight="1" thickBot="1" x14ac:dyDescent="0.3">
      <c r="C19" s="4"/>
      <c r="D19" s="137" t="s">
        <v>30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9"/>
    </row>
    <row r="20" spans="1:40" ht="20.100000000000001" customHeight="1" thickBot="1" x14ac:dyDescent="0.3">
      <c r="C20" s="5"/>
      <c r="D20" s="134" t="s">
        <v>31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6"/>
    </row>
    <row r="21" spans="1:40" ht="15" customHeight="1" x14ac:dyDescent="0.25">
      <c r="C21" s="2"/>
      <c r="D21" s="165" t="s">
        <v>32</v>
      </c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7"/>
    </row>
    <row r="22" spans="1:40" ht="15" customHeight="1" thickBot="1" x14ac:dyDescent="0.3">
      <c r="C22" s="2"/>
      <c r="D22" s="168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70"/>
    </row>
    <row r="23" spans="1:40" ht="15.75" customHeight="1" thickBot="1" x14ac:dyDescent="0.3">
      <c r="C23" s="2"/>
    </row>
    <row r="24" spans="1:40" ht="15.75" customHeight="1" thickBot="1" x14ac:dyDescent="0.3">
      <c r="A24" s="156" t="s">
        <v>36</v>
      </c>
      <c r="B24" s="157"/>
      <c r="C24" s="158"/>
      <c r="D24" s="156" t="s">
        <v>36</v>
      </c>
      <c r="E24" s="157"/>
      <c r="F24" s="158"/>
      <c r="G24" s="171" t="s">
        <v>36</v>
      </c>
      <c r="H24" s="172"/>
      <c r="I24" s="172"/>
      <c r="J24" s="172"/>
      <c r="K24" s="123" t="s">
        <v>36</v>
      </c>
      <c r="L24" s="124"/>
      <c r="M24" s="124"/>
      <c r="N24" s="124"/>
      <c r="O24" s="124"/>
      <c r="P24" s="124"/>
      <c r="Q24" s="124"/>
      <c r="R24" s="124"/>
      <c r="S24" s="125"/>
    </row>
    <row r="25" spans="1:40" ht="15.75" thickBot="1" x14ac:dyDescent="0.3">
      <c r="A25" s="51" t="s">
        <v>37</v>
      </c>
      <c r="B25" s="52">
        <v>2019</v>
      </c>
      <c r="C25" s="53">
        <v>2020</v>
      </c>
      <c r="D25" s="110">
        <v>2021</v>
      </c>
      <c r="E25" s="111"/>
      <c r="F25" s="112"/>
      <c r="G25" s="113">
        <v>2022</v>
      </c>
      <c r="H25" s="114"/>
      <c r="I25" s="114"/>
      <c r="J25" s="114"/>
      <c r="K25" s="175">
        <v>2023</v>
      </c>
      <c r="L25" s="173"/>
      <c r="M25" s="173"/>
      <c r="N25" s="173"/>
      <c r="O25" s="173"/>
      <c r="P25" s="173"/>
      <c r="Q25" s="173"/>
      <c r="R25" s="173"/>
      <c r="S25" s="176"/>
    </row>
    <row r="26" spans="1:40" x14ac:dyDescent="0.25">
      <c r="A26" s="20" t="s">
        <v>38</v>
      </c>
      <c r="B26" s="21"/>
      <c r="C26" s="22"/>
      <c r="D26" s="23">
        <v>44378</v>
      </c>
      <c r="E26" s="24">
        <v>44774</v>
      </c>
      <c r="F26" s="25" t="s">
        <v>39</v>
      </c>
      <c r="G26" s="30">
        <v>44774</v>
      </c>
      <c r="H26" s="31">
        <v>44927</v>
      </c>
      <c r="I26" s="32">
        <v>45047</v>
      </c>
      <c r="J26" s="101" t="s">
        <v>46</v>
      </c>
      <c r="K26" s="93">
        <v>45078</v>
      </c>
      <c r="L26" s="92">
        <v>45108</v>
      </c>
      <c r="M26" s="92">
        <v>45139</v>
      </c>
      <c r="N26" s="92">
        <v>45170</v>
      </c>
      <c r="O26" s="92">
        <v>45231</v>
      </c>
      <c r="P26" s="92">
        <v>45261</v>
      </c>
      <c r="Q26" s="174">
        <v>44927</v>
      </c>
      <c r="R26" s="174"/>
      <c r="S26" s="104">
        <v>45323</v>
      </c>
    </row>
    <row r="27" spans="1:40" ht="15.75" thickBot="1" x14ac:dyDescent="0.3">
      <c r="A27" s="26" t="s">
        <v>40</v>
      </c>
      <c r="B27" s="33">
        <v>28000</v>
      </c>
      <c r="C27" s="34">
        <v>40600</v>
      </c>
      <c r="D27" s="35">
        <v>54800</v>
      </c>
      <c r="E27" s="33">
        <v>9267</v>
      </c>
      <c r="F27" s="34">
        <f>D27+E27</f>
        <v>64067</v>
      </c>
      <c r="G27" s="35">
        <f>(F27*30/100+F27)</f>
        <v>83287.100000000006</v>
      </c>
      <c r="H27" s="33">
        <f>F27*50/100</f>
        <v>32033.5</v>
      </c>
      <c r="I27" s="36">
        <f>F27*28.8/100</f>
        <v>18451.296000000002</v>
      </c>
      <c r="J27" s="102">
        <f>G27+H27+I27</f>
        <v>133771.89600000001</v>
      </c>
      <c r="K27" s="59">
        <v>83618</v>
      </c>
      <c r="L27" s="94">
        <v>83617</v>
      </c>
      <c r="M27" s="94">
        <v>55187.907099999997</v>
      </c>
      <c r="N27" s="94">
        <v>55187.907099999997</v>
      </c>
      <c r="O27" s="103">
        <f>J27*15/100</f>
        <v>20065.7844</v>
      </c>
      <c r="P27" s="103">
        <f>J27*13.1/100</f>
        <v>17524.118375999999</v>
      </c>
      <c r="Q27" s="103">
        <v>20066</v>
      </c>
      <c r="R27" s="103">
        <v>53515</v>
      </c>
      <c r="S27" s="177">
        <v>48698</v>
      </c>
    </row>
    <row r="28" spans="1:40" x14ac:dyDescent="0.25">
      <c r="C28" s="3"/>
      <c r="J28" s="95"/>
    </row>
    <row r="29" spans="1:40" x14ac:dyDescent="0.25">
      <c r="J29" s="95"/>
    </row>
  </sheetData>
  <mergeCells count="37">
    <mergeCell ref="Q26:R26"/>
    <mergeCell ref="K24:S24"/>
    <mergeCell ref="K25:S25"/>
    <mergeCell ref="Q10:Z10"/>
    <mergeCell ref="AG4:AH4"/>
    <mergeCell ref="AG5:AG8"/>
    <mergeCell ref="A24:C24"/>
    <mergeCell ref="D24:F24"/>
    <mergeCell ref="N5:N8"/>
    <mergeCell ref="I5:I8"/>
    <mergeCell ref="J5:J8"/>
    <mergeCell ref="D21:R22"/>
    <mergeCell ref="G24:J24"/>
    <mergeCell ref="A1:E1"/>
    <mergeCell ref="C3:F3"/>
    <mergeCell ref="A10:G10"/>
    <mergeCell ref="D20:R20"/>
    <mergeCell ref="D19:R19"/>
    <mergeCell ref="C2:F2"/>
    <mergeCell ref="I4:J4"/>
    <mergeCell ref="P4:Q4"/>
    <mergeCell ref="H10:P10"/>
    <mergeCell ref="G2:S2"/>
    <mergeCell ref="G3:S3"/>
    <mergeCell ref="S5:S8"/>
    <mergeCell ref="T2:AL2"/>
    <mergeCell ref="D25:F25"/>
    <mergeCell ref="G25:J25"/>
    <mergeCell ref="U5:U8"/>
    <mergeCell ref="W5:W8"/>
    <mergeCell ref="AC5:AC8"/>
    <mergeCell ref="T3:AL3"/>
    <mergeCell ref="X5:X8"/>
    <mergeCell ref="Z5:Z8"/>
    <mergeCell ref="AH5:AH8"/>
    <mergeCell ref="AE5:AE8"/>
    <mergeCell ref="AJ5:AJ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PC7</dc:creator>
  <cp:lastModifiedBy>PC7</cp:lastModifiedBy>
  <cp:lastPrinted>2022-08-11T16:02:58Z</cp:lastPrinted>
  <dcterms:created xsi:type="dcterms:W3CDTF">2022-05-24T12:30:53Z</dcterms:created>
  <dcterms:modified xsi:type="dcterms:W3CDTF">2024-03-04T13:13:24Z</dcterms:modified>
</cp:coreProperties>
</file>