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7\Desktop\REFINERIA SAU\"/>
    </mc:Choice>
  </mc:AlternateContent>
  <bookViews>
    <workbookView xWindow="0" yWindow="0" windowWidth="20490" windowHeight="9045" tabRatio="601" activeTab="3"/>
  </bookViews>
  <sheets>
    <sheet name="TRAFIGURA" sheetId="1" r:id="rId1"/>
    <sheet name="AXION Energy" sheetId="2" r:id="rId2"/>
    <sheet name="OTE" sheetId="3" r:id="rId3"/>
    <sheet name="CONVENIO MARCO" sheetId="4" r:id="rId4"/>
  </sheets>
  <externalReferences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54" i="3" l="1"/>
  <c r="AU47" i="3"/>
  <c r="AU48" i="3"/>
  <c r="AU49" i="3"/>
  <c r="AU50" i="3"/>
  <c r="AU46" i="3"/>
  <c r="AS47" i="3"/>
  <c r="AS48" i="3"/>
  <c r="AS49" i="3"/>
  <c r="AS50" i="3"/>
  <c r="AS46" i="3"/>
  <c r="AT30" i="3"/>
  <c r="AT31" i="3"/>
  <c r="AT32" i="3"/>
  <c r="AT33" i="3"/>
  <c r="AT34" i="3"/>
  <c r="AT35" i="3"/>
  <c r="AT36" i="3"/>
  <c r="AT37" i="3"/>
  <c r="AT38" i="3"/>
  <c r="AT39" i="3"/>
  <c r="AT40" i="3"/>
  <c r="AT41" i="3"/>
  <c r="AT42" i="3"/>
  <c r="AT43" i="3"/>
  <c r="AT44" i="3"/>
  <c r="AT29" i="3"/>
  <c r="AT25" i="3"/>
  <c r="AT26" i="3"/>
  <c r="AT27" i="3"/>
  <c r="AT24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T22" i="3"/>
  <c r="AT6" i="3"/>
  <c r="AV25" i="2"/>
  <c r="AV26" i="2"/>
  <c r="AV27" i="2"/>
  <c r="AV28" i="2"/>
  <c r="AV29" i="2"/>
  <c r="AV24" i="2"/>
  <c r="AW23" i="2"/>
  <c r="AT25" i="2"/>
  <c r="AT26" i="2"/>
  <c r="AT27" i="2"/>
  <c r="AT28" i="2"/>
  <c r="AT29" i="2"/>
  <c r="AT24" i="2"/>
  <c r="AU23" i="2"/>
  <c r="AU7" i="2"/>
  <c r="AU8" i="2"/>
  <c r="AU9" i="2"/>
  <c r="AU10" i="2"/>
  <c r="AU11" i="2"/>
  <c r="AU14" i="2"/>
  <c r="AU15" i="2"/>
  <c r="AU16" i="2"/>
  <c r="AU17" i="2"/>
  <c r="AU18" i="2"/>
  <c r="AU19" i="2"/>
  <c r="AU20" i="2"/>
  <c r="AU21" i="2"/>
  <c r="AU6" i="2"/>
  <c r="AW47" i="1"/>
  <c r="AW48" i="1"/>
  <c r="AW49" i="1"/>
  <c r="AW46" i="1"/>
  <c r="AU47" i="1"/>
  <c r="AU48" i="1"/>
  <c r="AU49" i="1"/>
  <c r="AU46" i="1"/>
  <c r="AV41" i="1"/>
  <c r="AV42" i="1"/>
  <c r="AV40" i="1"/>
  <c r="AV37" i="1"/>
  <c r="AV35" i="1"/>
  <c r="AV34" i="1"/>
  <c r="AV31" i="1"/>
  <c r="AV32" i="1"/>
  <c r="AV30" i="1"/>
  <c r="AV23" i="1"/>
  <c r="AV24" i="1"/>
  <c r="AV25" i="1"/>
  <c r="AV26" i="1"/>
  <c r="AV27" i="1"/>
  <c r="AV22" i="1"/>
  <c r="AV16" i="1"/>
  <c r="AV17" i="1"/>
  <c r="AV18" i="1"/>
  <c r="AV19" i="1"/>
  <c r="AV20" i="1"/>
  <c r="AV15" i="1"/>
  <c r="AV7" i="1"/>
  <c r="AV8" i="1"/>
  <c r="AV9" i="1"/>
  <c r="AV10" i="1"/>
  <c r="AV11" i="1"/>
  <c r="AV12" i="1"/>
  <c r="AV6" i="1"/>
  <c r="AV44" i="1"/>
  <c r="AB21" i="4"/>
  <c r="AI18" i="4"/>
  <c r="AI19" i="4"/>
  <c r="AI20" i="4"/>
  <c r="AI21" i="4"/>
  <c r="AI22" i="4"/>
  <c r="AI17" i="4"/>
  <c r="AG19" i="4"/>
  <c r="AG20" i="4"/>
  <c r="AG22" i="4"/>
  <c r="AG18" i="4"/>
  <c r="AH5" i="4"/>
  <c r="AH6" i="4"/>
  <c r="AH7" i="4"/>
  <c r="AH8" i="4"/>
  <c r="AH9" i="4"/>
  <c r="AH10" i="4"/>
  <c r="AH11" i="4"/>
  <c r="AH12" i="4"/>
  <c r="AH13" i="4"/>
  <c r="AH14" i="4"/>
  <c r="AH15" i="4"/>
  <c r="AH4" i="4"/>
  <c r="AI5" i="4" l="1"/>
  <c r="AI6" i="4"/>
  <c r="AI7" i="4"/>
  <c r="AI8" i="4"/>
  <c r="AI9" i="4"/>
  <c r="AI10" i="4"/>
  <c r="AI11" i="4"/>
  <c r="AI12" i="4"/>
  <c r="AI13" i="4"/>
  <c r="AI14" i="4"/>
  <c r="AI15" i="4"/>
  <c r="AI4" i="4"/>
  <c r="AG17" i="4"/>
  <c r="AG5" i="4"/>
  <c r="AG6" i="4"/>
  <c r="AG7" i="4"/>
  <c r="AG8" i="4"/>
  <c r="AG9" i="4"/>
  <c r="AG10" i="4"/>
  <c r="AG11" i="4"/>
  <c r="AG12" i="4"/>
  <c r="AG13" i="4"/>
  <c r="AG14" i="4"/>
  <c r="AG15" i="4"/>
  <c r="AG4" i="4"/>
  <c r="AU54" i="3"/>
  <c r="AV23" i="2"/>
  <c r="AV7" i="2"/>
  <c r="AV8" i="2"/>
  <c r="AV9" i="2"/>
  <c r="AV10" i="2"/>
  <c r="AV11" i="2"/>
  <c r="AV14" i="2"/>
  <c r="AV15" i="2"/>
  <c r="AV16" i="2"/>
  <c r="AV17" i="2"/>
  <c r="AV18" i="2"/>
  <c r="AV19" i="2"/>
  <c r="AV20" i="2"/>
  <c r="AV21" i="2"/>
  <c r="AV6" i="2"/>
  <c r="AT23" i="2"/>
  <c r="AT7" i="2"/>
  <c r="AT8" i="2"/>
  <c r="AT9" i="2"/>
  <c r="AT10" i="2"/>
  <c r="AT11" i="2"/>
  <c r="AT14" i="2"/>
  <c r="AT15" i="2"/>
  <c r="AT16" i="2"/>
  <c r="AT17" i="2"/>
  <c r="AT18" i="2"/>
  <c r="AT19" i="2"/>
  <c r="AT20" i="2"/>
  <c r="AT21" i="2"/>
  <c r="AT6" i="2"/>
  <c r="AW44" i="1"/>
  <c r="AW41" i="1"/>
  <c r="AW42" i="1"/>
  <c r="AW40" i="1"/>
  <c r="AW37" i="1"/>
  <c r="AW35" i="1"/>
  <c r="AW34" i="1"/>
  <c r="AW31" i="1"/>
  <c r="AW32" i="1"/>
  <c r="AW30" i="1"/>
  <c r="AW23" i="1"/>
  <c r="AW24" i="1"/>
  <c r="AW25" i="1"/>
  <c r="AW26" i="1"/>
  <c r="AW27" i="1"/>
  <c r="AW22" i="1"/>
  <c r="AW16" i="1"/>
  <c r="AW17" i="1"/>
  <c r="AW18" i="1"/>
  <c r="AW19" i="1"/>
  <c r="AW20" i="1"/>
  <c r="AW15" i="1"/>
  <c r="AW7" i="1"/>
  <c r="AW8" i="1"/>
  <c r="AW9" i="1"/>
  <c r="AW10" i="1"/>
  <c r="AW11" i="1"/>
  <c r="AW12" i="1"/>
  <c r="AW6" i="1"/>
  <c r="AU44" i="1"/>
  <c r="AU41" i="1"/>
  <c r="AU42" i="1"/>
  <c r="AU40" i="1"/>
  <c r="AU37" i="1"/>
  <c r="AU35" i="1"/>
  <c r="AU34" i="1"/>
  <c r="AU31" i="1"/>
  <c r="AU32" i="1"/>
  <c r="AU30" i="1"/>
  <c r="AU23" i="1"/>
  <c r="AU24" i="1"/>
  <c r="AU25" i="1"/>
  <c r="AU26" i="1"/>
  <c r="AU27" i="1"/>
  <c r="AU22" i="1"/>
  <c r="AU16" i="1"/>
  <c r="AU17" i="1"/>
  <c r="AU18" i="1"/>
  <c r="AU19" i="1"/>
  <c r="AU20" i="1"/>
  <c r="AU15" i="1"/>
  <c r="AU7" i="1"/>
  <c r="AU8" i="1"/>
  <c r="AU9" i="1"/>
  <c r="AU10" i="1"/>
  <c r="AU11" i="1"/>
  <c r="AU12" i="1"/>
  <c r="AU6" i="1"/>
  <c r="AF18" i="4" l="1"/>
  <c r="AF19" i="4"/>
  <c r="AF20" i="4"/>
  <c r="AF21" i="4"/>
  <c r="AF22" i="4"/>
  <c r="AF17" i="4"/>
  <c r="AF5" i="4"/>
  <c r="AF6" i="4"/>
  <c r="AF7" i="4"/>
  <c r="AF8" i="4"/>
  <c r="AF9" i="4"/>
  <c r="AF10" i="4"/>
  <c r="AF11" i="4"/>
  <c r="AF12" i="4"/>
  <c r="AF13" i="4"/>
  <c r="AF14" i="4"/>
  <c r="AF15" i="4"/>
  <c r="AF4" i="4"/>
  <c r="AS24" i="2"/>
  <c r="AS25" i="2"/>
  <c r="AS26" i="2"/>
  <c r="AS27" i="2"/>
  <c r="AS28" i="2"/>
  <c r="AS29" i="2"/>
  <c r="AS23" i="2"/>
  <c r="AS7" i="2"/>
  <c r="AS8" i="2"/>
  <c r="AS9" i="2"/>
  <c r="AS10" i="2"/>
  <c r="AS11" i="2"/>
  <c r="AS14" i="2"/>
  <c r="AS15" i="2"/>
  <c r="AS16" i="2"/>
  <c r="AS17" i="2"/>
  <c r="AS18" i="2"/>
  <c r="AS19" i="2"/>
  <c r="AS20" i="2"/>
  <c r="AS21" i="2"/>
  <c r="AS6" i="2"/>
  <c r="AT47" i="1"/>
  <c r="AT48" i="1"/>
  <c r="AT49" i="1"/>
  <c r="AT46" i="1"/>
  <c r="AT44" i="1"/>
  <c r="AT41" i="1"/>
  <c r="AT42" i="1"/>
  <c r="AT40" i="1"/>
  <c r="AT37" i="1"/>
  <c r="AT35" i="1"/>
  <c r="AT34" i="1"/>
  <c r="AT31" i="1"/>
  <c r="AT32" i="1"/>
  <c r="AT30" i="1"/>
  <c r="AT23" i="1"/>
  <c r="AT24" i="1"/>
  <c r="AT25" i="1"/>
  <c r="AT26" i="1"/>
  <c r="AT27" i="1"/>
  <c r="AT22" i="1"/>
  <c r="AT16" i="1"/>
  <c r="AT17" i="1"/>
  <c r="AT18" i="1"/>
  <c r="AT19" i="1"/>
  <c r="AT20" i="1"/>
  <c r="AT15" i="1"/>
  <c r="AT7" i="1"/>
  <c r="AT8" i="1"/>
  <c r="AT9" i="1"/>
  <c r="AT10" i="1"/>
  <c r="AT11" i="1"/>
  <c r="AT12" i="1"/>
  <c r="AT6" i="1"/>
  <c r="U30" i="4" l="1"/>
  <c r="T30" i="4"/>
  <c r="H30" i="4"/>
  <c r="F30" i="4"/>
  <c r="G30" i="4" s="1"/>
  <c r="V63" i="3"/>
  <c r="U63" i="3"/>
  <c r="G63" i="3"/>
  <c r="H63" i="3" s="1"/>
  <c r="U35" i="2"/>
  <c r="T35" i="2"/>
  <c r="I35" i="2"/>
  <c r="H35" i="2"/>
  <c r="F35" i="2"/>
  <c r="G35" i="2" s="1"/>
  <c r="J35" i="2" s="1"/>
  <c r="AE5" i="4"/>
  <c r="AE6" i="4"/>
  <c r="AE7" i="4"/>
  <c r="AE8" i="4"/>
  <c r="AE9" i="4"/>
  <c r="AE10" i="4"/>
  <c r="AE11" i="4"/>
  <c r="AE12" i="4"/>
  <c r="AE13" i="4"/>
  <c r="AE14" i="4"/>
  <c r="AE15" i="4"/>
  <c r="AE4" i="4"/>
  <c r="AD19" i="4"/>
  <c r="AD20" i="4"/>
  <c r="AD21" i="4"/>
  <c r="AD22" i="4"/>
  <c r="AE17" i="4"/>
  <c r="AC18" i="4"/>
  <c r="AD17" i="4"/>
  <c r="AD5" i="4"/>
  <c r="AD6" i="4"/>
  <c r="AD7" i="4"/>
  <c r="AD8" i="4"/>
  <c r="AD9" i="4"/>
  <c r="AD10" i="4"/>
  <c r="AD11" i="4"/>
  <c r="AD12" i="4"/>
  <c r="AD13" i="4"/>
  <c r="AD14" i="4"/>
  <c r="AD15" i="4"/>
  <c r="AD4" i="4"/>
  <c r="AR23" i="2"/>
  <c r="AR7" i="2"/>
  <c r="AR8" i="2"/>
  <c r="AR9" i="2"/>
  <c r="AR10" i="2"/>
  <c r="AR11" i="2"/>
  <c r="AR14" i="2"/>
  <c r="AR15" i="2"/>
  <c r="AR16" i="2"/>
  <c r="AR17" i="2"/>
  <c r="AR18" i="2"/>
  <c r="AR19" i="2"/>
  <c r="AR20" i="2"/>
  <c r="AR21" i="2"/>
  <c r="AR6" i="2"/>
  <c r="AR47" i="1"/>
  <c r="AR48" i="1"/>
  <c r="AR49" i="1"/>
  <c r="AR46" i="1"/>
  <c r="AQ25" i="2"/>
  <c r="AQ26" i="2"/>
  <c r="AQ27" i="2"/>
  <c r="AQ28" i="2"/>
  <c r="AQ29" i="2"/>
  <c r="AQ24" i="2"/>
  <c r="AQ23" i="2"/>
  <c r="AQ7" i="2"/>
  <c r="AQ8" i="2"/>
  <c r="AQ9" i="2"/>
  <c r="AQ10" i="2"/>
  <c r="AQ11" i="2"/>
  <c r="AQ14" i="2"/>
  <c r="AQ15" i="2"/>
  <c r="AQ16" i="2"/>
  <c r="AQ17" i="2"/>
  <c r="AQ18" i="2"/>
  <c r="AQ19" i="2"/>
  <c r="AQ20" i="2"/>
  <c r="AQ21" i="2"/>
  <c r="AQ6" i="2"/>
  <c r="W57" i="1"/>
  <c r="AS41" i="1"/>
  <c r="AS42" i="1"/>
  <c r="AS40" i="1"/>
  <c r="AS37" i="1"/>
  <c r="AS35" i="1"/>
  <c r="AS34" i="1"/>
  <c r="AS31" i="1"/>
  <c r="AS32" i="1"/>
  <c r="AS30" i="1"/>
  <c r="AS23" i="1"/>
  <c r="AS24" i="1"/>
  <c r="AS25" i="1"/>
  <c r="AS26" i="1"/>
  <c r="AS27" i="1"/>
  <c r="AS22" i="1"/>
  <c r="AS16" i="1"/>
  <c r="AS17" i="1"/>
  <c r="AS18" i="1"/>
  <c r="AS19" i="1"/>
  <c r="AS20" i="1"/>
  <c r="AS15" i="1"/>
  <c r="AS7" i="1"/>
  <c r="AS8" i="1"/>
  <c r="AS9" i="1"/>
  <c r="AS10" i="1"/>
  <c r="AS11" i="1"/>
  <c r="AS12" i="1"/>
  <c r="AS6" i="1"/>
  <c r="AR44" i="1"/>
  <c r="AR41" i="1"/>
  <c r="AR42" i="1"/>
  <c r="AR40" i="1"/>
  <c r="AR37" i="1"/>
  <c r="AR35" i="1"/>
  <c r="AR34" i="1"/>
  <c r="AR31" i="1"/>
  <c r="AR32" i="1"/>
  <c r="AR30" i="1"/>
  <c r="AR23" i="1"/>
  <c r="AR24" i="1"/>
  <c r="AR25" i="1"/>
  <c r="AR26" i="1"/>
  <c r="AR27" i="1"/>
  <c r="AR22" i="1"/>
  <c r="AR16" i="1"/>
  <c r="AR17" i="1"/>
  <c r="AR18" i="1"/>
  <c r="AR19" i="1"/>
  <c r="AR20" i="1"/>
  <c r="AR15" i="1"/>
  <c r="AR7" i="1"/>
  <c r="AR8" i="1"/>
  <c r="AR9" i="1"/>
  <c r="AR10" i="1"/>
  <c r="AR11" i="1"/>
  <c r="AR12" i="1"/>
  <c r="AR6" i="1"/>
  <c r="I63" i="3" l="1"/>
  <c r="I30" i="4"/>
  <c r="J30" i="4" s="1"/>
  <c r="J63" i="3"/>
  <c r="K63" i="3" s="1"/>
  <c r="O35" i="2"/>
  <c r="K35" i="2"/>
  <c r="M35" i="2"/>
  <c r="L35" i="2"/>
  <c r="N35" i="2"/>
  <c r="R35" i="2"/>
  <c r="Q35" i="2"/>
  <c r="AC17" i="4"/>
  <c r="AP23" i="2"/>
  <c r="O30" i="4" l="1"/>
  <c r="K30" i="4"/>
  <c r="L30" i="4"/>
  <c r="N30" i="4"/>
  <c r="R30" i="4"/>
  <c r="M30" i="4"/>
  <c r="Q30" i="4"/>
  <c r="P63" i="3"/>
  <c r="L63" i="3"/>
  <c r="O63" i="3"/>
  <c r="M63" i="3"/>
  <c r="S63" i="3"/>
  <c r="N63" i="3"/>
  <c r="R63" i="3"/>
  <c r="AC19" i="4"/>
  <c r="AC20" i="4"/>
  <c r="AC21" i="4"/>
  <c r="AC22" i="4"/>
  <c r="AC15" i="4"/>
  <c r="AC5" i="4"/>
  <c r="AC6" i="4"/>
  <c r="AC7" i="4"/>
  <c r="AC8" i="4"/>
  <c r="AC9" i="4"/>
  <c r="AC10" i="4"/>
  <c r="AC11" i="4"/>
  <c r="AC12" i="4"/>
  <c r="AC13" i="4"/>
  <c r="AC14" i="4"/>
  <c r="AC4" i="4"/>
  <c r="AO54" i="3"/>
  <c r="AP54" i="3" s="1"/>
  <c r="AR54" i="3" s="1"/>
  <c r="AP24" i="2"/>
  <c r="AP25" i="2"/>
  <c r="AP26" i="2"/>
  <c r="AP27" i="2"/>
  <c r="AP28" i="2"/>
  <c r="AP29" i="2"/>
  <c r="AP7" i="2"/>
  <c r="AP8" i="2"/>
  <c r="AP9" i="2"/>
  <c r="AP10" i="2"/>
  <c r="AP11" i="2"/>
  <c r="AP14" i="2"/>
  <c r="AP15" i="2"/>
  <c r="AP16" i="2"/>
  <c r="AP17" i="2"/>
  <c r="AP18" i="2"/>
  <c r="AP19" i="2"/>
  <c r="AP20" i="2"/>
  <c r="AP21" i="2"/>
  <c r="AP6" i="2"/>
  <c r="AO6" i="2"/>
  <c r="V57" i="1"/>
  <c r="AQ47" i="1"/>
  <c r="AQ48" i="1"/>
  <c r="AQ49" i="1"/>
  <c r="AQ46" i="1"/>
  <c r="AQ44" i="1"/>
  <c r="AQ41" i="1"/>
  <c r="AQ42" i="1"/>
  <c r="AQ40" i="1"/>
  <c r="AQ37" i="1"/>
  <c r="AQ35" i="1"/>
  <c r="AQ34" i="1"/>
  <c r="AQ31" i="1"/>
  <c r="AQ32" i="1"/>
  <c r="AQ30" i="1"/>
  <c r="AQ23" i="1"/>
  <c r="AQ24" i="1"/>
  <c r="AQ25" i="1"/>
  <c r="AQ26" i="1"/>
  <c r="AQ27" i="1"/>
  <c r="AQ22" i="1"/>
  <c r="AQ16" i="1"/>
  <c r="AQ17" i="1"/>
  <c r="AQ18" i="1"/>
  <c r="AQ19" i="1"/>
  <c r="AQ20" i="1"/>
  <c r="AQ15" i="1"/>
  <c r="AQ7" i="1"/>
  <c r="AQ8" i="1"/>
  <c r="AQ9" i="1"/>
  <c r="AQ10" i="1"/>
  <c r="AQ11" i="1"/>
  <c r="AQ12" i="1"/>
  <c r="AQ6" i="1"/>
  <c r="Q57" i="1" l="1"/>
  <c r="AP42" i="1" l="1"/>
  <c r="AB4" i="4" l="1"/>
  <c r="Z21" i="4" l="1"/>
  <c r="Z17" i="4"/>
  <c r="Z5" i="4"/>
  <c r="Z6" i="4"/>
  <c r="Z7" i="4"/>
  <c r="Z8" i="4"/>
  <c r="Z9" i="4"/>
  <c r="Z10" i="4"/>
  <c r="Z11" i="4"/>
  <c r="Z12" i="4"/>
  <c r="Z13" i="4"/>
  <c r="Z14" i="4"/>
  <c r="Z15" i="4"/>
  <c r="Z4" i="4"/>
  <c r="AN44" i="1" l="1"/>
  <c r="AN41" i="1"/>
  <c r="AN42" i="1"/>
  <c r="AN40" i="1"/>
  <c r="AN37" i="1"/>
  <c r="AN35" i="1"/>
  <c r="AN34" i="1"/>
  <c r="AN31" i="1"/>
  <c r="AN32" i="1"/>
  <c r="AN30" i="1"/>
  <c r="AN23" i="1"/>
  <c r="AN24" i="1"/>
  <c r="AN25" i="1"/>
  <c r="AN26" i="1"/>
  <c r="AN27" i="1"/>
  <c r="AN22" i="1"/>
  <c r="AN16" i="1" l="1"/>
  <c r="AN17" i="1"/>
  <c r="AN18" i="1"/>
  <c r="AN19" i="1"/>
  <c r="AN20" i="1"/>
  <c r="AN15" i="1"/>
  <c r="AN7" i="1"/>
  <c r="AN8" i="1"/>
  <c r="AN9" i="1"/>
  <c r="AN10" i="1"/>
  <c r="AN11" i="1"/>
  <c r="AN12" i="1"/>
  <c r="AN6" i="1"/>
  <c r="AO7" i="1" l="1"/>
  <c r="AO8" i="1"/>
  <c r="AO9" i="1"/>
  <c r="AO10" i="1"/>
  <c r="AO11" i="1"/>
  <c r="AO12" i="1"/>
  <c r="AO44" i="1" l="1"/>
  <c r="AA21" i="4"/>
  <c r="AA17" i="4"/>
  <c r="AA4" i="4" l="1"/>
  <c r="AO37" i="1"/>
  <c r="K57" i="1" l="1"/>
  <c r="J57" i="1"/>
  <c r="H57" i="1"/>
  <c r="I57" i="1" s="1"/>
  <c r="AN49" i="3"/>
  <c r="AN50" i="3"/>
  <c r="AN46" i="3"/>
  <c r="AO26" i="2"/>
  <c r="AO27" i="2"/>
  <c r="AP48" i="1"/>
  <c r="AP49" i="1"/>
  <c r="AP37" i="1"/>
  <c r="AR46" i="3" l="1"/>
  <c r="AP46" i="3"/>
  <c r="AO46" i="3"/>
  <c r="AR49" i="3"/>
  <c r="AO49" i="3"/>
  <c r="AP49" i="3" s="1"/>
  <c r="AR50" i="3"/>
  <c r="AO50" i="3"/>
  <c r="AP50" i="3" s="1"/>
  <c r="L57" i="1"/>
  <c r="S57" i="1"/>
  <c r="N57" i="1"/>
  <c r="M57" i="1"/>
  <c r="O57" i="1"/>
  <c r="P57" i="1"/>
  <c r="T57" i="1"/>
  <c r="AB18" i="4"/>
  <c r="AB19" i="4"/>
  <c r="AB20" i="4"/>
  <c r="AB22" i="4"/>
  <c r="Y19" i="4" l="1"/>
  <c r="Y20" i="4"/>
  <c r="Y22" i="4"/>
  <c r="Y18" i="4"/>
  <c r="X19" i="4"/>
  <c r="X20" i="4"/>
  <c r="X22" i="4"/>
  <c r="X18" i="4"/>
  <c r="Y4" i="4"/>
  <c r="X4" i="4"/>
  <c r="AK49" i="3"/>
  <c r="AK50" i="3"/>
  <c r="AK46" i="3"/>
  <c r="AJ49" i="3"/>
  <c r="AJ50" i="3"/>
  <c r="AJ46" i="3"/>
  <c r="AL26" i="2"/>
  <c r="AL27" i="2"/>
  <c r="AK26" i="2"/>
  <c r="AK27" i="2"/>
  <c r="AM48" i="1"/>
  <c r="AM49" i="1"/>
  <c r="AM37" i="1"/>
  <c r="AL48" i="1"/>
  <c r="AL49" i="1"/>
  <c r="AL37" i="1"/>
  <c r="AK37" i="1" l="1"/>
  <c r="AJ37" i="1"/>
  <c r="AI37" i="1"/>
  <c r="AH37" i="1"/>
  <c r="AG37" i="1"/>
  <c r="AF37" i="1"/>
  <c r="AE37" i="1"/>
  <c r="AD37" i="1"/>
  <c r="AC37" i="1"/>
  <c r="V19" i="4" l="1"/>
  <c r="V20" i="4"/>
  <c r="V22" i="4"/>
  <c r="V18" i="4"/>
  <c r="W4" i="4"/>
  <c r="AH49" i="3"/>
  <c r="AH50" i="3"/>
  <c r="AH46" i="3"/>
  <c r="AI26" i="2"/>
  <c r="AI27" i="2"/>
  <c r="AJ48" i="1"/>
  <c r="AJ49" i="1"/>
  <c r="K54" i="3" l="1"/>
  <c r="L54" i="3" s="1"/>
  <c r="J54" i="3"/>
  <c r="M54" i="3" l="1"/>
  <c r="N54" i="3"/>
  <c r="O54" i="3"/>
  <c r="U18" i="4"/>
  <c r="U19" i="4"/>
  <c r="U20" i="4"/>
  <c r="U22" i="4"/>
  <c r="V4" i="4"/>
  <c r="U4" i="4"/>
  <c r="AG49" i="3"/>
  <c r="AG50" i="3"/>
  <c r="AG46" i="3"/>
  <c r="AH26" i="2"/>
  <c r="AH27" i="2"/>
  <c r="X54" i="3" l="1"/>
  <c r="P54" i="3"/>
  <c r="R54" i="3"/>
  <c r="Q54" i="3"/>
  <c r="S54" i="3"/>
  <c r="Z54" i="3"/>
  <c r="Y54" i="3"/>
  <c r="AI48" i="1"/>
  <c r="AI49" i="1"/>
  <c r="AL54" i="3" l="1"/>
  <c r="AM54" i="3"/>
  <c r="AB54" i="3"/>
  <c r="AF54" i="3"/>
  <c r="AA54" i="3"/>
  <c r="AF50" i="3"/>
  <c r="AE50" i="3"/>
  <c r="AD50" i="3"/>
  <c r="AC50" i="3"/>
  <c r="AB50" i="3"/>
  <c r="AA50" i="3"/>
  <c r="X31" i="3"/>
  <c r="X35" i="3"/>
  <c r="X39" i="3"/>
  <c r="X43" i="3"/>
  <c r="Y9" i="2"/>
  <c r="Y14" i="2"/>
  <c r="Y18" i="2"/>
  <c r="Y23" i="2"/>
  <c r="Y24" i="2"/>
  <c r="Y25" i="2"/>
  <c r="O50" i="3"/>
  <c r="W50" i="3" s="1"/>
  <c r="N50" i="3"/>
  <c r="M50" i="3"/>
  <c r="L50" i="3"/>
  <c r="M24" i="2"/>
  <c r="P50" i="3" l="1"/>
  <c r="X50" i="3"/>
  <c r="T50" i="3"/>
  <c r="Q50" i="3"/>
  <c r="U50" i="3"/>
  <c r="R50" i="3"/>
  <c r="V50" i="3"/>
  <c r="S50" i="3"/>
  <c r="T18" i="4" l="1"/>
  <c r="T19" i="4"/>
  <c r="T20" i="4"/>
  <c r="T22" i="4"/>
  <c r="T4" i="4"/>
  <c r="AG26" i="2"/>
  <c r="AG27" i="2"/>
  <c r="AF49" i="3"/>
  <c r="AF46" i="3"/>
  <c r="AH49" i="1"/>
  <c r="I22" i="4" l="1"/>
  <c r="J22" i="4" s="1"/>
  <c r="K22" i="4" s="1"/>
  <c r="L22" i="4" s="1"/>
  <c r="M22" i="4" s="1"/>
  <c r="F22" i="4"/>
  <c r="G22" i="4" s="1"/>
  <c r="H22" i="4" s="1"/>
  <c r="E22" i="4"/>
  <c r="D22" i="4"/>
  <c r="L49" i="3"/>
  <c r="M49" i="3" s="1"/>
  <c r="N49" i="3" s="1"/>
  <c r="O49" i="3" s="1"/>
  <c r="M29" i="2"/>
  <c r="N29" i="2" s="1"/>
  <c r="O29" i="2" s="1"/>
  <c r="P29" i="2" s="1"/>
  <c r="AA29" i="2" l="1"/>
  <c r="AO29" i="2" s="1"/>
  <c r="AG29" i="2"/>
  <c r="U49" i="3"/>
  <c r="V49" i="3" s="1"/>
  <c r="W49" i="3" s="1"/>
  <c r="Q49" i="3"/>
  <c r="P49" i="3"/>
  <c r="R49" i="3"/>
  <c r="S49" i="3" s="1"/>
  <c r="T49" i="3" s="1"/>
  <c r="S29" i="2"/>
  <c r="T29" i="2" s="1"/>
  <c r="U29" i="2" s="1"/>
  <c r="R29" i="2"/>
  <c r="Q29" i="2"/>
  <c r="V29" i="2"/>
  <c r="W29" i="2" s="1"/>
  <c r="X29" i="2" s="1"/>
  <c r="Y29" i="2" s="1"/>
  <c r="AL29" i="2" l="1"/>
  <c r="AI29" i="2"/>
  <c r="AH29" i="2"/>
  <c r="X49" i="3"/>
  <c r="Y49" i="3" s="1"/>
  <c r="Z29" i="2"/>
  <c r="AC49" i="3"/>
  <c r="AB49" i="3"/>
  <c r="AE49" i="3"/>
  <c r="AA49" i="3"/>
  <c r="AD49" i="3"/>
  <c r="S18" i="4"/>
  <c r="S19" i="4"/>
  <c r="S20" i="4"/>
  <c r="S22" i="4"/>
  <c r="AE46" i="3"/>
  <c r="AF26" i="2"/>
  <c r="AF27" i="2"/>
  <c r="AF29" i="2"/>
  <c r="R18" i="4" l="1"/>
  <c r="R19" i="4"/>
  <c r="R20" i="4"/>
  <c r="R22" i="4"/>
  <c r="Q19" i="4"/>
  <c r="Q20" i="4"/>
  <c r="Q22" i="4"/>
  <c r="P18" i="4"/>
  <c r="P19" i="4"/>
  <c r="P20" i="4"/>
  <c r="P22" i="4"/>
  <c r="O18" i="4"/>
  <c r="O19" i="4"/>
  <c r="O20" i="4"/>
  <c r="O22" i="4"/>
  <c r="S4" i="4"/>
  <c r="R4" i="4"/>
  <c r="AD46" i="3" l="1"/>
  <c r="AB46" i="3"/>
  <c r="AA46" i="3"/>
  <c r="AE26" i="2"/>
  <c r="AE27" i="2"/>
  <c r="AE29" i="2"/>
  <c r="AD29" i="2"/>
  <c r="AC29" i="2"/>
  <c r="AB29" i="2"/>
  <c r="AC26" i="2"/>
  <c r="AC27" i="2"/>
  <c r="AB26" i="2"/>
  <c r="AB27" i="2"/>
  <c r="AG49" i="1"/>
  <c r="AF49" i="1"/>
  <c r="AD49" i="1"/>
  <c r="AC49" i="1"/>
  <c r="Y31" i="3" l="1"/>
  <c r="Y35" i="3"/>
  <c r="Y39" i="3"/>
  <c r="Y43" i="3"/>
  <c r="W31" i="3"/>
  <c r="W35" i="3"/>
  <c r="W39" i="3"/>
  <c r="W43" i="3"/>
  <c r="V31" i="3"/>
  <c r="V35" i="3"/>
  <c r="V39" i="3"/>
  <c r="V43" i="3"/>
  <c r="U31" i="3"/>
  <c r="U35" i="3"/>
  <c r="U39" i="3"/>
  <c r="U43" i="3"/>
  <c r="T31" i="3"/>
  <c r="T35" i="3"/>
  <c r="T39" i="3"/>
  <c r="T43" i="3"/>
  <c r="S31" i="3"/>
  <c r="S35" i="3"/>
  <c r="S39" i="3"/>
  <c r="S43" i="3"/>
  <c r="R31" i="3"/>
  <c r="R35" i="3"/>
  <c r="R39" i="3"/>
  <c r="R43" i="3"/>
  <c r="Q31" i="3"/>
  <c r="Q35" i="3"/>
  <c r="Q39" i="3"/>
  <c r="Q43" i="3"/>
  <c r="AE49" i="1" l="1"/>
  <c r="Q4" i="4" l="1"/>
  <c r="P4" i="4"/>
  <c r="O4" i="4"/>
  <c r="M17" i="4" l="1"/>
  <c r="Z24" i="2"/>
  <c r="Z25" i="2"/>
  <c r="Z23" i="2"/>
  <c r="Z9" i="2"/>
  <c r="Z14" i="2"/>
  <c r="Z18" i="2"/>
  <c r="N17" i="4" l="1"/>
  <c r="AA24" i="2"/>
  <c r="AO24" i="2" s="1"/>
  <c r="AA25" i="2"/>
  <c r="AO25" i="2" s="1"/>
  <c r="AA23" i="2"/>
  <c r="AM23" i="2" s="1"/>
  <c r="AA9" i="2"/>
  <c r="AM9" i="2" s="1"/>
  <c r="AA14" i="2"/>
  <c r="AM14" i="2" s="1"/>
  <c r="AA18" i="2"/>
  <c r="AM18" i="2" s="1"/>
  <c r="AN23" i="2" l="1"/>
  <c r="AO23" i="2"/>
  <c r="AN18" i="2"/>
  <c r="AO18" i="2"/>
  <c r="AN14" i="2"/>
  <c r="AO14" i="2"/>
  <c r="AN9" i="2"/>
  <c r="AO9" i="2"/>
  <c r="AB17" i="4"/>
  <c r="Y17" i="4"/>
  <c r="X17" i="4"/>
  <c r="W17" i="4"/>
  <c r="U17" i="4"/>
  <c r="V17" i="4"/>
  <c r="AL18" i="2"/>
  <c r="AK18" i="2"/>
  <c r="AJ18" i="2"/>
  <c r="AI18" i="2"/>
  <c r="AH18" i="2"/>
  <c r="AK24" i="2"/>
  <c r="AL24" i="2"/>
  <c r="AI24" i="2"/>
  <c r="AH24" i="2"/>
  <c r="AL23" i="2"/>
  <c r="AK23" i="2"/>
  <c r="AJ23" i="2"/>
  <c r="AI23" i="2"/>
  <c r="AH23" i="2"/>
  <c r="AL25" i="2"/>
  <c r="AK25" i="2"/>
  <c r="AI25" i="2"/>
  <c r="AH25" i="2"/>
  <c r="AL14" i="2"/>
  <c r="AK14" i="2"/>
  <c r="AJ14" i="2"/>
  <c r="AI14" i="2"/>
  <c r="AH14" i="2"/>
  <c r="AK9" i="2"/>
  <c r="AL9" i="2"/>
  <c r="AJ9" i="2"/>
  <c r="AH9" i="2"/>
  <c r="AI9" i="2"/>
  <c r="T17" i="4"/>
  <c r="S17" i="4"/>
  <c r="Q17" i="4"/>
  <c r="R17" i="4"/>
  <c r="P17" i="4"/>
  <c r="O17" i="4"/>
  <c r="AG23" i="2"/>
  <c r="AF23" i="2"/>
  <c r="AE23" i="2"/>
  <c r="AC23" i="2"/>
  <c r="AB23" i="2"/>
  <c r="AG25" i="2"/>
  <c r="AF25" i="2"/>
  <c r="AB25" i="2"/>
  <c r="AC25" i="2"/>
  <c r="AE25" i="2"/>
  <c r="AG18" i="2"/>
  <c r="AF18" i="2"/>
  <c r="AE18" i="2"/>
  <c r="AG14" i="2"/>
  <c r="AF14" i="2"/>
  <c r="AE14" i="2"/>
  <c r="AG9" i="2"/>
  <c r="AF9" i="2"/>
  <c r="AE9" i="2"/>
  <c r="AG24" i="2"/>
  <c r="AF24" i="2"/>
  <c r="AC24" i="2"/>
  <c r="AE24" i="2"/>
  <c r="AB24" i="2"/>
  <c r="AD23" i="2"/>
  <c r="AD9" i="2"/>
  <c r="AC9" i="2"/>
  <c r="AB9" i="2"/>
  <c r="AD25" i="2"/>
  <c r="AD18" i="2"/>
  <c r="AC18" i="2"/>
  <c r="AB18" i="2"/>
  <c r="AD14" i="2"/>
  <c r="AC14" i="2"/>
  <c r="AB14" i="2"/>
  <c r="E27" i="1" l="1"/>
  <c r="E26" i="1"/>
  <c r="E25" i="1"/>
  <c r="E24" i="1"/>
  <c r="E23" i="1"/>
  <c r="E22" i="1"/>
  <c r="D23" i="1"/>
  <c r="D24" i="1"/>
  <c r="D25" i="1"/>
  <c r="D26" i="1"/>
  <c r="D27" i="1"/>
  <c r="D22" i="1"/>
  <c r="L17" i="4" l="1"/>
  <c r="G46" i="1" l="1"/>
  <c r="K17" i="4" l="1"/>
  <c r="J17" i="4"/>
  <c r="I17" i="4"/>
  <c r="H17" i="4"/>
  <c r="G17" i="4"/>
  <c r="X9" i="2" l="1"/>
  <c r="X14" i="2"/>
  <c r="X18" i="2"/>
  <c r="X24" i="2" l="1"/>
  <c r="X25" i="2"/>
  <c r="W24" i="2"/>
  <c r="W25" i="2"/>
  <c r="V24" i="2"/>
  <c r="V25" i="2"/>
  <c r="U24" i="2"/>
  <c r="U25" i="2"/>
  <c r="T24" i="2"/>
  <c r="T25" i="2"/>
  <c r="X23" i="2"/>
  <c r="W23" i="2"/>
  <c r="V23" i="2"/>
  <c r="U23" i="2"/>
  <c r="T23" i="2"/>
  <c r="W14" i="2"/>
  <c r="W18" i="2"/>
  <c r="V14" i="2"/>
  <c r="V18" i="2"/>
  <c r="U14" i="2"/>
  <c r="U18" i="2"/>
  <c r="T14" i="2"/>
  <c r="T18" i="2"/>
  <c r="D12" i="2" l="1"/>
  <c r="E15" i="1" l="1"/>
  <c r="E16" i="1"/>
  <c r="E17" i="1"/>
  <c r="E18" i="1"/>
  <c r="E19" i="1"/>
  <c r="E20" i="1"/>
  <c r="D20" i="1"/>
  <c r="D19" i="1"/>
  <c r="D18" i="1"/>
  <c r="D17" i="1"/>
  <c r="D16" i="1"/>
  <c r="D15" i="1"/>
  <c r="E21" i="2" l="1"/>
  <c r="J21" i="2"/>
  <c r="D21" i="2"/>
  <c r="E20" i="2"/>
  <c r="J20" i="2"/>
  <c r="D20" i="2"/>
  <c r="E19" i="2"/>
  <c r="J19" i="2"/>
  <c r="D19" i="2"/>
  <c r="I18" i="2"/>
  <c r="I21" i="2" s="1"/>
  <c r="H18" i="2"/>
  <c r="H21" i="2" s="1"/>
  <c r="G18" i="2"/>
  <c r="G21" i="2" s="1"/>
  <c r="F18" i="2"/>
  <c r="F21" i="2" s="1"/>
  <c r="L17" i="2"/>
  <c r="E17" i="2"/>
  <c r="J17" i="2"/>
  <c r="D17" i="2"/>
  <c r="E16" i="2"/>
  <c r="J16" i="2"/>
  <c r="D16" i="2"/>
  <c r="E15" i="2"/>
  <c r="J15" i="2"/>
  <c r="D15" i="2"/>
  <c r="K18" i="2"/>
  <c r="K21" i="2" s="1"/>
  <c r="K14" i="2"/>
  <c r="K17" i="2" s="1"/>
  <c r="I14" i="2"/>
  <c r="I17" i="2" s="1"/>
  <c r="H14" i="2"/>
  <c r="H16" i="2" s="1"/>
  <c r="G14" i="2"/>
  <c r="G17" i="2" s="1"/>
  <c r="F14" i="2"/>
  <c r="F17" i="2" s="1"/>
  <c r="L21" i="2"/>
  <c r="L20" i="2"/>
  <c r="L19" i="2"/>
  <c r="O18" i="2"/>
  <c r="O20" i="2" s="1"/>
  <c r="N18" i="2"/>
  <c r="N21" i="2" s="1"/>
  <c r="M18" i="2"/>
  <c r="M21" i="2" s="1"/>
  <c r="L16" i="2"/>
  <c r="L15" i="2"/>
  <c r="O14" i="2"/>
  <c r="O17" i="2" s="1"/>
  <c r="N14" i="2"/>
  <c r="N17" i="2" s="1"/>
  <c r="M14" i="2"/>
  <c r="M16" i="2" s="1"/>
  <c r="O16" i="2" l="1"/>
  <c r="H19" i="2"/>
  <c r="H20" i="2"/>
  <c r="O15" i="2"/>
  <c r="N20" i="2"/>
  <c r="N15" i="2"/>
  <c r="N16" i="2"/>
  <c r="M19" i="2"/>
  <c r="M20" i="2"/>
  <c r="O21" i="2"/>
  <c r="K15" i="2"/>
  <c r="G15" i="2"/>
  <c r="K16" i="2"/>
  <c r="G16" i="2"/>
  <c r="M17" i="2"/>
  <c r="K19" i="2"/>
  <c r="G19" i="2"/>
  <c r="K20" i="2"/>
  <c r="G20" i="2"/>
  <c r="N19" i="2"/>
  <c r="H17" i="2"/>
  <c r="M15" i="2"/>
  <c r="F15" i="2"/>
  <c r="F16" i="2"/>
  <c r="F19" i="2"/>
  <c r="F20" i="2"/>
  <c r="H15" i="2"/>
  <c r="O19" i="2"/>
  <c r="I15" i="2"/>
  <c r="I16" i="2"/>
  <c r="I19" i="2"/>
  <c r="I20" i="2"/>
  <c r="S25" i="2"/>
  <c r="R25" i="2"/>
  <c r="Q25" i="2"/>
  <c r="K25" i="2"/>
  <c r="P21" i="2"/>
  <c r="Y21" i="2" s="1"/>
  <c r="P20" i="2"/>
  <c r="Y20" i="2" s="1"/>
  <c r="P19" i="2"/>
  <c r="Y19" i="2" s="1"/>
  <c r="P16" i="2"/>
  <c r="Y16" i="2" s="1"/>
  <c r="P15" i="2"/>
  <c r="Y15" i="2" s="1"/>
  <c r="P17" i="2"/>
  <c r="Y17" i="2" s="1"/>
  <c r="S18" i="2"/>
  <c r="S21" i="2" s="1"/>
  <c r="R18" i="2"/>
  <c r="R21" i="2" s="1"/>
  <c r="Q18" i="2"/>
  <c r="Q21" i="2" s="1"/>
  <c r="S14" i="2"/>
  <c r="S16" i="2" s="1"/>
  <c r="R14" i="2"/>
  <c r="Q14" i="2"/>
  <c r="Q16" i="2" s="1"/>
  <c r="E11" i="2"/>
  <c r="D11" i="2"/>
  <c r="F7" i="2"/>
  <c r="G7" i="2" s="1"/>
  <c r="H7" i="2" s="1"/>
  <c r="I7" i="2" s="1"/>
  <c r="J7" i="2" s="1"/>
  <c r="F8" i="2"/>
  <c r="G8" i="2" s="1"/>
  <c r="H8" i="2" s="1"/>
  <c r="I8" i="2" s="1"/>
  <c r="J8" i="2" s="1"/>
  <c r="L8" i="2" s="1"/>
  <c r="F10" i="2"/>
  <c r="G10" i="2" s="1"/>
  <c r="H10" i="2" s="1"/>
  <c r="I10" i="2" s="1"/>
  <c r="J10" i="2" s="1"/>
  <c r="K10" i="2" s="1"/>
  <c r="K11" i="2" s="1"/>
  <c r="F6" i="2"/>
  <c r="G6" i="2" s="1"/>
  <c r="H6" i="2" s="1"/>
  <c r="I6" i="2" s="1"/>
  <c r="J6" i="2" s="1"/>
  <c r="E12" i="2"/>
  <c r="E13" i="2" s="1"/>
  <c r="D13" i="2"/>
  <c r="Z20" i="2" l="1"/>
  <c r="AA20" i="2"/>
  <c r="AM20" i="2" s="1"/>
  <c r="X20" i="2"/>
  <c r="W20" i="2"/>
  <c r="V20" i="2"/>
  <c r="U20" i="2"/>
  <c r="T20" i="2"/>
  <c r="Z21" i="2"/>
  <c r="AA21" i="2"/>
  <c r="AM21" i="2" s="1"/>
  <c r="X21" i="2"/>
  <c r="W21" i="2"/>
  <c r="V21" i="2"/>
  <c r="U21" i="2"/>
  <c r="T21" i="2"/>
  <c r="Z17" i="2"/>
  <c r="AA17" i="2"/>
  <c r="AM17" i="2" s="1"/>
  <c r="X17" i="2"/>
  <c r="W17" i="2"/>
  <c r="V17" i="2"/>
  <c r="U17" i="2"/>
  <c r="T17" i="2"/>
  <c r="S19" i="2"/>
  <c r="S20" i="2"/>
  <c r="Z19" i="2"/>
  <c r="AA19" i="2"/>
  <c r="AM19" i="2" s="1"/>
  <c r="X19" i="2"/>
  <c r="W19" i="2"/>
  <c r="V19" i="2"/>
  <c r="U19" i="2"/>
  <c r="T19" i="2"/>
  <c r="Z15" i="2"/>
  <c r="AA15" i="2"/>
  <c r="AM15" i="2" s="1"/>
  <c r="X15" i="2"/>
  <c r="W15" i="2"/>
  <c r="V15" i="2"/>
  <c r="U15" i="2"/>
  <c r="T15" i="2"/>
  <c r="R19" i="2"/>
  <c r="R20" i="2"/>
  <c r="Z16" i="2"/>
  <c r="AA16" i="2"/>
  <c r="AM16" i="2" s="1"/>
  <c r="X16" i="2"/>
  <c r="U16" i="2"/>
  <c r="T16" i="2"/>
  <c r="W16" i="2"/>
  <c r="V16" i="2"/>
  <c r="Q19" i="2"/>
  <c r="Q20" i="2"/>
  <c r="S17" i="2"/>
  <c r="R17" i="2"/>
  <c r="S15" i="2"/>
  <c r="Q17" i="2"/>
  <c r="R15" i="2"/>
  <c r="R16" i="2"/>
  <c r="Q15" i="2"/>
  <c r="G11" i="2"/>
  <c r="J11" i="2"/>
  <c r="F11" i="2"/>
  <c r="H11" i="2"/>
  <c r="I11" i="2"/>
  <c r="K6" i="2"/>
  <c r="L6" i="2"/>
  <c r="N6" i="2" s="1"/>
  <c r="K8" i="2"/>
  <c r="N8" i="2"/>
  <c r="M8" i="2"/>
  <c r="P8" i="2"/>
  <c r="Y8" i="2" s="1"/>
  <c r="O8" i="2"/>
  <c r="L7" i="2"/>
  <c r="K7" i="2"/>
  <c r="L10" i="2"/>
  <c r="L11" i="2" s="1"/>
  <c r="F12" i="2"/>
  <c r="J28" i="2"/>
  <c r="L28" i="2" s="1"/>
  <c r="M28" i="2" s="1"/>
  <c r="I28" i="2"/>
  <c r="H28" i="2"/>
  <c r="J27" i="2"/>
  <c r="L27" i="2" s="1"/>
  <c r="I27" i="2"/>
  <c r="H27" i="2"/>
  <c r="J26" i="2"/>
  <c r="L26" i="2" s="1"/>
  <c r="I26" i="2"/>
  <c r="H26" i="2"/>
  <c r="J24" i="2"/>
  <c r="I24" i="2"/>
  <c r="H24" i="2"/>
  <c r="L23" i="2"/>
  <c r="AN15" i="2" l="1"/>
  <c r="AO15" i="2"/>
  <c r="AN20" i="2"/>
  <c r="AO20" i="2"/>
  <c r="AN17" i="2"/>
  <c r="AO17" i="2"/>
  <c r="AN16" i="2"/>
  <c r="AO16" i="2"/>
  <c r="AN19" i="2"/>
  <c r="AO19" i="2"/>
  <c r="AN21" i="2"/>
  <c r="AO21" i="2"/>
  <c r="AK15" i="2"/>
  <c r="AL15" i="2"/>
  <c r="AJ15" i="2"/>
  <c r="AI15" i="2"/>
  <c r="AH15" i="2"/>
  <c r="AK17" i="2"/>
  <c r="AL17" i="2"/>
  <c r="AJ17" i="2"/>
  <c r="AI17" i="2"/>
  <c r="AH17" i="2"/>
  <c r="AL20" i="2"/>
  <c r="AK20" i="2"/>
  <c r="AJ20" i="2"/>
  <c r="AI20" i="2"/>
  <c r="AH20" i="2"/>
  <c r="AL16" i="2"/>
  <c r="AK16" i="2"/>
  <c r="AJ16" i="2"/>
  <c r="AI16" i="2"/>
  <c r="AH16" i="2"/>
  <c r="AL19" i="2"/>
  <c r="AK19" i="2"/>
  <c r="AJ19" i="2"/>
  <c r="AI19" i="2"/>
  <c r="AH19" i="2"/>
  <c r="AK21" i="2"/>
  <c r="AL21" i="2"/>
  <c r="AJ21" i="2"/>
  <c r="AI21" i="2"/>
  <c r="AH21" i="2"/>
  <c r="AG15" i="2"/>
  <c r="AE15" i="2"/>
  <c r="AF15" i="2"/>
  <c r="AG17" i="2"/>
  <c r="AE17" i="2"/>
  <c r="AF17" i="2"/>
  <c r="AG20" i="2"/>
  <c r="AF20" i="2"/>
  <c r="AE20" i="2"/>
  <c r="AG16" i="2"/>
  <c r="AF16" i="2"/>
  <c r="AE16" i="2"/>
  <c r="AG19" i="2"/>
  <c r="AF19" i="2"/>
  <c r="AE19" i="2"/>
  <c r="AG21" i="2"/>
  <c r="AE21" i="2"/>
  <c r="AF21" i="2"/>
  <c r="AD19" i="2"/>
  <c r="AC19" i="2"/>
  <c r="AB19" i="2"/>
  <c r="AC16" i="2"/>
  <c r="AD16" i="2"/>
  <c r="AB16" i="2"/>
  <c r="AD17" i="2"/>
  <c r="AC17" i="2"/>
  <c r="AB17" i="2"/>
  <c r="AD21" i="2"/>
  <c r="AC21" i="2"/>
  <c r="AB21" i="2"/>
  <c r="AD20" i="2"/>
  <c r="AC20" i="2"/>
  <c r="AB20" i="2"/>
  <c r="Z8" i="2"/>
  <c r="AA8" i="2"/>
  <c r="AM8" i="2" s="1"/>
  <c r="X8" i="2"/>
  <c r="W8" i="2"/>
  <c r="V8" i="2"/>
  <c r="U8" i="2"/>
  <c r="T8" i="2"/>
  <c r="AD15" i="2"/>
  <c r="AC15" i="2"/>
  <c r="AB15" i="2"/>
  <c r="G12" i="2"/>
  <c r="F13" i="2"/>
  <c r="P6" i="2"/>
  <c r="Y6" i="2" s="1"/>
  <c r="O6" i="2"/>
  <c r="M6" i="2"/>
  <c r="M7" i="2"/>
  <c r="N7" i="2"/>
  <c r="P7" i="2"/>
  <c r="Y7" i="2" s="1"/>
  <c r="O7" i="2"/>
  <c r="O10" i="2"/>
  <c r="O11" i="2" s="1"/>
  <c r="N10" i="2"/>
  <c r="N11" i="2" s="1"/>
  <c r="M10" i="2"/>
  <c r="M11" i="2" s="1"/>
  <c r="P10" i="2"/>
  <c r="Y10" i="2" s="1"/>
  <c r="R8" i="2"/>
  <c r="Q8" i="2"/>
  <c r="S8" i="2"/>
  <c r="N24" i="2"/>
  <c r="P26" i="2"/>
  <c r="Y26" i="2" s="1"/>
  <c r="O26" i="2"/>
  <c r="N26" i="2"/>
  <c r="M26" i="2"/>
  <c r="P27" i="2"/>
  <c r="Y27" i="2" s="1"/>
  <c r="N27" i="2"/>
  <c r="O27" i="2"/>
  <c r="M27" i="2"/>
  <c r="P28" i="2"/>
  <c r="Y28" i="2" s="1"/>
  <c r="O28" i="2"/>
  <c r="N28" i="2"/>
  <c r="K23" i="2"/>
  <c r="K24" i="2"/>
  <c r="K26" i="2"/>
  <c r="K27" i="2"/>
  <c r="K28" i="2"/>
  <c r="K48" i="3"/>
  <c r="M48" i="3" s="1"/>
  <c r="J48" i="3"/>
  <c r="K47" i="3"/>
  <c r="N47" i="3" s="1"/>
  <c r="J47" i="3"/>
  <c r="K46" i="3"/>
  <c r="O46" i="3" s="1"/>
  <c r="X46" i="3" s="1"/>
  <c r="J46" i="3"/>
  <c r="O42" i="3"/>
  <c r="O44" i="3" s="1"/>
  <c r="I42" i="3"/>
  <c r="H42" i="3"/>
  <c r="G42" i="3"/>
  <c r="F42" i="3"/>
  <c r="E42" i="3"/>
  <c r="P41" i="3"/>
  <c r="X41" i="3" s="1"/>
  <c r="K41" i="3"/>
  <c r="N41" i="3" s="1"/>
  <c r="J41" i="3"/>
  <c r="O38" i="3"/>
  <c r="I38" i="3"/>
  <c r="H38" i="3"/>
  <c r="G38" i="3"/>
  <c r="F38" i="3"/>
  <c r="E38" i="3"/>
  <c r="P37" i="3"/>
  <c r="X37" i="3" s="1"/>
  <c r="K37" i="3"/>
  <c r="J37" i="3"/>
  <c r="J38" i="3" s="1"/>
  <c r="J40" i="3" s="1"/>
  <c r="O34" i="3"/>
  <c r="I34" i="3"/>
  <c r="H34" i="3"/>
  <c r="G34" i="3"/>
  <c r="F34" i="3"/>
  <c r="E34" i="3"/>
  <c r="P33" i="3"/>
  <c r="X33" i="3" s="1"/>
  <c r="K33" i="3"/>
  <c r="M33" i="3" s="1"/>
  <c r="J33" i="3"/>
  <c r="J34" i="3" s="1"/>
  <c r="O30" i="3"/>
  <c r="L30" i="3"/>
  <c r="K30" i="3"/>
  <c r="J30" i="3"/>
  <c r="I30" i="3"/>
  <c r="H30" i="3"/>
  <c r="G30" i="3"/>
  <c r="F30" i="3"/>
  <c r="E30" i="3"/>
  <c r="P29" i="3"/>
  <c r="X29" i="3" s="1"/>
  <c r="K29" i="3"/>
  <c r="N29" i="3" s="1"/>
  <c r="J29" i="3"/>
  <c r="K26" i="3"/>
  <c r="K27" i="3" s="1"/>
  <c r="J26" i="3"/>
  <c r="J24" i="3" s="1"/>
  <c r="J25" i="3" s="1"/>
  <c r="K20" i="3"/>
  <c r="K22" i="3" s="1"/>
  <c r="J20" i="3"/>
  <c r="J22" i="3" s="1"/>
  <c r="K17" i="3"/>
  <c r="N17" i="3" s="1"/>
  <c r="J17" i="3"/>
  <c r="J19" i="3" s="1"/>
  <c r="K14" i="3"/>
  <c r="K16" i="3" s="1"/>
  <c r="J14" i="3"/>
  <c r="J16" i="3" s="1"/>
  <c r="K11" i="3"/>
  <c r="N11" i="3" s="1"/>
  <c r="J11" i="3"/>
  <c r="J13" i="3" s="1"/>
  <c r="K8" i="3"/>
  <c r="K9" i="3" s="1"/>
  <c r="J8" i="3"/>
  <c r="J10" i="3" s="1"/>
  <c r="K6" i="3"/>
  <c r="M6" i="3" s="1"/>
  <c r="M7" i="3" s="1"/>
  <c r="J6" i="3"/>
  <c r="AN8" i="2" l="1"/>
  <c r="AO8" i="2"/>
  <c r="AL8" i="2"/>
  <c r="AK8" i="2"/>
  <c r="AJ8" i="2"/>
  <c r="AI8" i="2"/>
  <c r="AH8" i="2"/>
  <c r="L41" i="3"/>
  <c r="L42" i="3" s="1"/>
  <c r="AG8" i="2"/>
  <c r="AF8" i="2"/>
  <c r="AE8" i="2"/>
  <c r="P30" i="3"/>
  <c r="X30" i="3" s="1"/>
  <c r="Z29" i="3"/>
  <c r="AL29" i="3" s="1"/>
  <c r="Y29" i="3"/>
  <c r="S29" i="3"/>
  <c r="T29" i="3"/>
  <c r="Z33" i="3"/>
  <c r="AL33" i="3" s="1"/>
  <c r="U33" i="3"/>
  <c r="Q33" i="3"/>
  <c r="V33" i="3"/>
  <c r="R33" i="3"/>
  <c r="W33" i="3"/>
  <c r="S33" i="3"/>
  <c r="Y33" i="3"/>
  <c r="T33" i="3"/>
  <c r="Z41" i="3"/>
  <c r="AL41" i="3" s="1"/>
  <c r="U41" i="3"/>
  <c r="Q41" i="3"/>
  <c r="V41" i="3"/>
  <c r="R41" i="3"/>
  <c r="W41" i="3"/>
  <c r="S41" i="3"/>
  <c r="Y41" i="3"/>
  <c r="T41" i="3"/>
  <c r="Z37" i="3"/>
  <c r="AL37" i="3" s="1"/>
  <c r="U37" i="3"/>
  <c r="Q37" i="3"/>
  <c r="V37" i="3"/>
  <c r="R37" i="3"/>
  <c r="W37" i="3"/>
  <c r="S37" i="3"/>
  <c r="Y37" i="3"/>
  <c r="T37" i="3"/>
  <c r="M41" i="3"/>
  <c r="M42" i="3" s="1"/>
  <c r="P42" i="3"/>
  <c r="X42" i="3" s="1"/>
  <c r="P11" i="2"/>
  <c r="Y11" i="2" s="1"/>
  <c r="Z10" i="2"/>
  <c r="AA10" i="2"/>
  <c r="AM10" i="2" s="1"/>
  <c r="X10" i="2"/>
  <c r="V10" i="2"/>
  <c r="U10" i="2"/>
  <c r="T10" i="2"/>
  <c r="W10" i="2"/>
  <c r="Z7" i="2"/>
  <c r="AA7" i="2"/>
  <c r="AM7" i="2" s="1"/>
  <c r="X7" i="2"/>
  <c r="W7" i="2"/>
  <c r="V7" i="2"/>
  <c r="U7" i="2"/>
  <c r="T7" i="2"/>
  <c r="Z28" i="2"/>
  <c r="AA28" i="2"/>
  <c r="T28" i="2"/>
  <c r="Z27" i="2"/>
  <c r="W27" i="2"/>
  <c r="V27" i="2"/>
  <c r="U27" i="2"/>
  <c r="X27" i="2"/>
  <c r="T27" i="2"/>
  <c r="Z26" i="2"/>
  <c r="X26" i="2"/>
  <c r="W26" i="2"/>
  <c r="V26" i="2"/>
  <c r="U26" i="2"/>
  <c r="T26" i="2"/>
  <c r="V6" i="2"/>
  <c r="U6" i="2"/>
  <c r="Z6" i="2"/>
  <c r="AA6" i="2"/>
  <c r="AM6" i="2" s="1"/>
  <c r="X6" i="2"/>
  <c r="W6" i="2"/>
  <c r="T6" i="2"/>
  <c r="AD8" i="2"/>
  <c r="AC8" i="2"/>
  <c r="AB8" i="2"/>
  <c r="N33" i="3"/>
  <c r="N34" i="3" s="1"/>
  <c r="Y46" i="3"/>
  <c r="N46" i="3"/>
  <c r="M47" i="3"/>
  <c r="M34" i="3"/>
  <c r="M36" i="3" s="1"/>
  <c r="L6" i="3"/>
  <c r="L7" i="3" s="1"/>
  <c r="M11" i="3"/>
  <c r="M13" i="3" s="1"/>
  <c r="M29" i="3"/>
  <c r="M30" i="3" s="1"/>
  <c r="P34" i="3"/>
  <c r="X34" i="3" s="1"/>
  <c r="J27" i="3"/>
  <c r="P32" i="3"/>
  <c r="X32" i="3" s="1"/>
  <c r="W29" i="3"/>
  <c r="U29" i="3"/>
  <c r="V29" i="3"/>
  <c r="K32" i="3"/>
  <c r="L33" i="3"/>
  <c r="L34" i="3" s="1"/>
  <c r="L36" i="3" s="1"/>
  <c r="O36" i="3"/>
  <c r="P38" i="3"/>
  <c r="X38" i="3" s="1"/>
  <c r="U46" i="3"/>
  <c r="T46" i="3"/>
  <c r="V46" i="3"/>
  <c r="W46" i="3"/>
  <c r="S46" i="3"/>
  <c r="O8" i="3"/>
  <c r="X8" i="3" s="1"/>
  <c r="O40" i="3"/>
  <c r="M17" i="3"/>
  <c r="M19" i="3" s="1"/>
  <c r="J32" i="3"/>
  <c r="R29" i="3"/>
  <c r="O32" i="3"/>
  <c r="K42" i="3"/>
  <c r="K44" i="3" s="1"/>
  <c r="M46" i="3"/>
  <c r="L47" i="3"/>
  <c r="L48" i="3"/>
  <c r="H12" i="2"/>
  <c r="G13" i="2"/>
  <c r="S6" i="2"/>
  <c r="R6" i="2"/>
  <c r="Q6" i="2"/>
  <c r="S10" i="2"/>
  <c r="S11" i="2" s="1"/>
  <c r="R10" i="2"/>
  <c r="R11" i="2" s="1"/>
  <c r="Q10" i="2"/>
  <c r="Q11" i="2" s="1"/>
  <c r="Q7" i="2"/>
  <c r="S7" i="2"/>
  <c r="R7" i="2"/>
  <c r="R27" i="2"/>
  <c r="S27" i="2"/>
  <c r="Q27" i="2"/>
  <c r="S26" i="2"/>
  <c r="R26" i="2"/>
  <c r="Q26" i="2"/>
  <c r="S24" i="2"/>
  <c r="R24" i="2"/>
  <c r="Q24" i="2"/>
  <c r="R28" i="2"/>
  <c r="S28" i="2"/>
  <c r="Q28" i="2"/>
  <c r="S23" i="2"/>
  <c r="R23" i="2"/>
  <c r="Q23" i="2"/>
  <c r="O10" i="3"/>
  <c r="X10" i="3" s="1"/>
  <c r="N12" i="3"/>
  <c r="N13" i="3"/>
  <c r="N30" i="3"/>
  <c r="N32" i="3" s="1"/>
  <c r="K10" i="3"/>
  <c r="L8" i="3"/>
  <c r="N8" i="3"/>
  <c r="M8" i="3"/>
  <c r="N18" i="3"/>
  <c r="N19" i="3"/>
  <c r="R46" i="3"/>
  <c r="Q46" i="3"/>
  <c r="P46" i="3"/>
  <c r="K15" i="3"/>
  <c r="N6" i="3"/>
  <c r="N7" i="3" s="1"/>
  <c r="O11" i="3"/>
  <c r="X11" i="3" s="1"/>
  <c r="K12" i="3"/>
  <c r="M14" i="3"/>
  <c r="O17" i="3"/>
  <c r="X17" i="3" s="1"/>
  <c r="K18" i="3"/>
  <c r="M20" i="3"/>
  <c r="K24" i="3"/>
  <c r="K25" i="3" s="1"/>
  <c r="M26" i="3"/>
  <c r="K34" i="3"/>
  <c r="K36" i="3" s="1"/>
  <c r="J36" i="3"/>
  <c r="M37" i="3"/>
  <c r="J42" i="3"/>
  <c r="J44" i="3" s="1"/>
  <c r="N42" i="3"/>
  <c r="N44" i="3" s="1"/>
  <c r="L46" i="3"/>
  <c r="O47" i="3"/>
  <c r="X47" i="3" s="1"/>
  <c r="N48" i="3"/>
  <c r="O14" i="3"/>
  <c r="X14" i="3" s="1"/>
  <c r="O20" i="3"/>
  <c r="X20" i="3" s="1"/>
  <c r="O6" i="3"/>
  <c r="X6" i="3" s="1"/>
  <c r="K7" i="3"/>
  <c r="L11" i="3"/>
  <c r="K13" i="3"/>
  <c r="N14" i="3"/>
  <c r="L17" i="3"/>
  <c r="K19" i="3"/>
  <c r="N20" i="3"/>
  <c r="N26" i="3"/>
  <c r="L29" i="3"/>
  <c r="L32" i="3" s="1"/>
  <c r="Q29" i="3"/>
  <c r="N37" i="3"/>
  <c r="O48" i="3"/>
  <c r="X48" i="3" s="1"/>
  <c r="K21" i="3"/>
  <c r="O26" i="3"/>
  <c r="X26" i="3" s="1"/>
  <c r="L14" i="3"/>
  <c r="L20" i="3"/>
  <c r="L26" i="3"/>
  <c r="L37" i="3"/>
  <c r="K38" i="3"/>
  <c r="K40" i="3" s="1"/>
  <c r="F17" i="4"/>
  <c r="E17" i="4"/>
  <c r="D18" i="4"/>
  <c r="M18" i="4" s="1"/>
  <c r="D19" i="4"/>
  <c r="M19" i="4" s="1"/>
  <c r="D20" i="4"/>
  <c r="M20" i="4" s="1"/>
  <c r="D21" i="4"/>
  <c r="D5" i="4"/>
  <c r="D6" i="4"/>
  <c r="D7" i="4"/>
  <c r="D8" i="4"/>
  <c r="D9" i="4"/>
  <c r="D10" i="4"/>
  <c r="D11" i="4"/>
  <c r="D12" i="4"/>
  <c r="D13" i="4"/>
  <c r="D14" i="4"/>
  <c r="D15" i="4"/>
  <c r="D4" i="4"/>
  <c r="M4" i="4" s="1"/>
  <c r="AM28" i="2" l="1"/>
  <c r="AN28" i="2"/>
  <c r="AM37" i="3"/>
  <c r="AN37" i="3"/>
  <c r="AM41" i="3"/>
  <c r="AN41" i="3"/>
  <c r="L44" i="3"/>
  <c r="AM33" i="3"/>
  <c r="AN33" i="3"/>
  <c r="AM29" i="3"/>
  <c r="AN29" i="3"/>
  <c r="AN7" i="2"/>
  <c r="AO7" i="2"/>
  <c r="AN10" i="2"/>
  <c r="AO10" i="2"/>
  <c r="AN6" i="2"/>
  <c r="AJ41" i="3"/>
  <c r="AK41" i="3"/>
  <c r="AI41" i="3"/>
  <c r="AJ33" i="3"/>
  <c r="AK33" i="3"/>
  <c r="AI33" i="3"/>
  <c r="AJ29" i="3"/>
  <c r="AK29" i="3"/>
  <c r="AI29" i="3"/>
  <c r="N36" i="3"/>
  <c r="AJ37" i="3"/>
  <c r="AK37" i="3"/>
  <c r="AI37" i="3"/>
  <c r="AL10" i="2"/>
  <c r="AK10" i="2"/>
  <c r="AJ10" i="2"/>
  <c r="AI10" i="2"/>
  <c r="AH10" i="2"/>
  <c r="AL6" i="2"/>
  <c r="AK6" i="2"/>
  <c r="AJ6" i="2"/>
  <c r="AI6" i="2"/>
  <c r="AH6" i="2"/>
  <c r="AL7" i="2"/>
  <c r="AK7" i="2"/>
  <c r="AJ7" i="2"/>
  <c r="AI7" i="2"/>
  <c r="AH7" i="2"/>
  <c r="M12" i="3"/>
  <c r="M44" i="3"/>
  <c r="AH37" i="3"/>
  <c r="AG37" i="3"/>
  <c r="AH41" i="3"/>
  <c r="AG41" i="3"/>
  <c r="AH33" i="3"/>
  <c r="AG33" i="3"/>
  <c r="AH29" i="3"/>
  <c r="AG29" i="3"/>
  <c r="M14" i="4"/>
  <c r="N14" i="4"/>
  <c r="AA14" i="4" s="1"/>
  <c r="M10" i="4"/>
  <c r="N10" i="4"/>
  <c r="AA10" i="4" s="1"/>
  <c r="M6" i="4"/>
  <c r="N6" i="4"/>
  <c r="AA6" i="4" s="1"/>
  <c r="M15" i="4"/>
  <c r="N15" i="4"/>
  <c r="AA15" i="4" s="1"/>
  <c r="M13" i="4"/>
  <c r="N13" i="4"/>
  <c r="AA13" i="4" s="1"/>
  <c r="M9" i="4"/>
  <c r="N9" i="4"/>
  <c r="AA9" i="4" s="1"/>
  <c r="M5" i="4"/>
  <c r="N5" i="4"/>
  <c r="AA5" i="4" s="1"/>
  <c r="M11" i="4"/>
  <c r="N11" i="4"/>
  <c r="AA11" i="4" s="1"/>
  <c r="M7" i="4"/>
  <c r="N7" i="4"/>
  <c r="AA7" i="4" s="1"/>
  <c r="M12" i="4"/>
  <c r="N12" i="4"/>
  <c r="AA12" i="4" s="1"/>
  <c r="M8" i="4"/>
  <c r="N8" i="4"/>
  <c r="AA8" i="4" s="1"/>
  <c r="E21" i="4"/>
  <c r="M21" i="4"/>
  <c r="N21" i="4"/>
  <c r="P44" i="3"/>
  <c r="X44" i="3" s="1"/>
  <c r="M32" i="3"/>
  <c r="AC28" i="2"/>
  <c r="AB28" i="2"/>
  <c r="AG10" i="2"/>
  <c r="AF10" i="2"/>
  <c r="AE10" i="2"/>
  <c r="AG6" i="2"/>
  <c r="AC6" i="2"/>
  <c r="AD6" i="2"/>
  <c r="AE6" i="2"/>
  <c r="AB6" i="2"/>
  <c r="AF6" i="2"/>
  <c r="AG7" i="2"/>
  <c r="AE7" i="2"/>
  <c r="AF7" i="2"/>
  <c r="AF37" i="3"/>
  <c r="AE37" i="3"/>
  <c r="AD37" i="3"/>
  <c r="AB37" i="3"/>
  <c r="AC37" i="3"/>
  <c r="AA37" i="3"/>
  <c r="Z32" i="3"/>
  <c r="AL32" i="3" s="1"/>
  <c r="V32" i="3"/>
  <c r="R32" i="3"/>
  <c r="W32" i="3"/>
  <c r="S32" i="3"/>
  <c r="Y32" i="3"/>
  <c r="T32" i="3"/>
  <c r="U32" i="3"/>
  <c r="Q32" i="3"/>
  <c r="AF41" i="3"/>
  <c r="AE41" i="3"/>
  <c r="AD41" i="3"/>
  <c r="AB41" i="3"/>
  <c r="AA41" i="3"/>
  <c r="AC41" i="3"/>
  <c r="Z38" i="3"/>
  <c r="AL38" i="3" s="1"/>
  <c r="Y38" i="3"/>
  <c r="T38" i="3"/>
  <c r="U38" i="3"/>
  <c r="Q38" i="3"/>
  <c r="V38" i="3"/>
  <c r="R38" i="3"/>
  <c r="W38" i="3"/>
  <c r="S38" i="3"/>
  <c r="Z42" i="3"/>
  <c r="AL42" i="3" s="1"/>
  <c r="Y42" i="3"/>
  <c r="T42" i="3"/>
  <c r="U42" i="3"/>
  <c r="Q42" i="3"/>
  <c r="V42" i="3"/>
  <c r="R42" i="3"/>
  <c r="W42" i="3"/>
  <c r="S42" i="3"/>
  <c r="AF33" i="3"/>
  <c r="AE33" i="3"/>
  <c r="AD33" i="3"/>
  <c r="AB33" i="3"/>
  <c r="AA33" i="3"/>
  <c r="AC33" i="3"/>
  <c r="AF29" i="3"/>
  <c r="AE29" i="3"/>
  <c r="AD29" i="3"/>
  <c r="AB29" i="3"/>
  <c r="AA29" i="3"/>
  <c r="AC29" i="3"/>
  <c r="Z34" i="3"/>
  <c r="AL34" i="3" s="1"/>
  <c r="Y34" i="3"/>
  <c r="T34" i="3"/>
  <c r="U34" i="3"/>
  <c r="Q34" i="3"/>
  <c r="V34" i="3"/>
  <c r="R34" i="3"/>
  <c r="W34" i="3"/>
  <c r="S34" i="3"/>
  <c r="Z30" i="3"/>
  <c r="AL30" i="3" s="1"/>
  <c r="Y30" i="3"/>
  <c r="T30" i="3"/>
  <c r="U30" i="3"/>
  <c r="Q30" i="3"/>
  <c r="V30" i="3"/>
  <c r="R30" i="3"/>
  <c r="W30" i="3"/>
  <c r="S30" i="3"/>
  <c r="AD26" i="2"/>
  <c r="AD27" i="2"/>
  <c r="AD7" i="2"/>
  <c r="AC7" i="2"/>
  <c r="AB7" i="2"/>
  <c r="AC10" i="2"/>
  <c r="AB10" i="2"/>
  <c r="AD10" i="2"/>
  <c r="Z11" i="2"/>
  <c r="AA11" i="2"/>
  <c r="AM11" i="2" s="1"/>
  <c r="X11" i="2"/>
  <c r="W11" i="2"/>
  <c r="V11" i="2"/>
  <c r="U11" i="2"/>
  <c r="T11" i="2"/>
  <c r="Y20" i="3"/>
  <c r="Z20" i="3"/>
  <c r="AL20" i="3" s="1"/>
  <c r="M18" i="3"/>
  <c r="Y14" i="3"/>
  <c r="Z14" i="3"/>
  <c r="AL14" i="3" s="1"/>
  <c r="Y47" i="3"/>
  <c r="Z47" i="3"/>
  <c r="AN47" i="3" s="1"/>
  <c r="Y11" i="3"/>
  <c r="Z11" i="3"/>
  <c r="AL11" i="3" s="1"/>
  <c r="Z10" i="3"/>
  <c r="AL10" i="3" s="1"/>
  <c r="Y10" i="3"/>
  <c r="R8" i="3"/>
  <c r="R10" i="3" s="1"/>
  <c r="Y8" i="3"/>
  <c r="Z8" i="3"/>
  <c r="AL8" i="3" s="1"/>
  <c r="Y17" i="3"/>
  <c r="Z17" i="3"/>
  <c r="AL17" i="3" s="1"/>
  <c r="Y26" i="3"/>
  <c r="Z26" i="3"/>
  <c r="AL26" i="3" s="1"/>
  <c r="Y48" i="3"/>
  <c r="Z48" i="3"/>
  <c r="AN48" i="3" s="1"/>
  <c r="Y6" i="3"/>
  <c r="Z6" i="3"/>
  <c r="AL6" i="3" s="1"/>
  <c r="AA34" i="3"/>
  <c r="O9" i="3"/>
  <c r="X9" i="3" s="1"/>
  <c r="Q8" i="3"/>
  <c r="Q10" i="3" s="1"/>
  <c r="F11" i="4"/>
  <c r="L11" i="4"/>
  <c r="G11" i="4"/>
  <c r="K11" i="4"/>
  <c r="J11" i="4"/>
  <c r="I11" i="4"/>
  <c r="H11" i="4"/>
  <c r="F20" i="4"/>
  <c r="L20" i="4"/>
  <c r="K20" i="4"/>
  <c r="J20" i="4"/>
  <c r="I20" i="4"/>
  <c r="H20" i="4"/>
  <c r="G20" i="4"/>
  <c r="F14" i="4"/>
  <c r="L14" i="4"/>
  <c r="K14" i="4"/>
  <c r="J14" i="4"/>
  <c r="I14" i="4"/>
  <c r="H14" i="4"/>
  <c r="G14" i="4"/>
  <c r="F10" i="4"/>
  <c r="L10" i="4"/>
  <c r="K10" i="4"/>
  <c r="J10" i="4"/>
  <c r="I10" i="4"/>
  <c r="H10" i="4"/>
  <c r="G10" i="4"/>
  <c r="F6" i="4"/>
  <c r="L6" i="4"/>
  <c r="K6" i="4"/>
  <c r="J6" i="4"/>
  <c r="I6" i="4"/>
  <c r="H6" i="4"/>
  <c r="G6" i="4"/>
  <c r="F19" i="4"/>
  <c r="L19" i="4"/>
  <c r="K19" i="4"/>
  <c r="J19" i="4"/>
  <c r="I19" i="4"/>
  <c r="H19" i="4"/>
  <c r="G19" i="4"/>
  <c r="F15" i="4"/>
  <c r="L15" i="4"/>
  <c r="K15" i="4"/>
  <c r="J15" i="4"/>
  <c r="I15" i="4"/>
  <c r="H15" i="4"/>
  <c r="G15" i="4"/>
  <c r="E7" i="4"/>
  <c r="L7" i="4"/>
  <c r="G7" i="4"/>
  <c r="K7" i="4"/>
  <c r="J7" i="4"/>
  <c r="I7" i="4"/>
  <c r="H7" i="4"/>
  <c r="F13" i="4"/>
  <c r="L13" i="4"/>
  <c r="K13" i="4"/>
  <c r="J13" i="4"/>
  <c r="I13" i="4"/>
  <c r="H13" i="4"/>
  <c r="G13" i="4"/>
  <c r="F9" i="4"/>
  <c r="L9" i="4"/>
  <c r="K9" i="4"/>
  <c r="J9" i="4"/>
  <c r="I9" i="4"/>
  <c r="H9" i="4"/>
  <c r="G9" i="4"/>
  <c r="F5" i="4"/>
  <c r="L5" i="4"/>
  <c r="K5" i="4"/>
  <c r="J5" i="4"/>
  <c r="I5" i="4"/>
  <c r="H5" i="4"/>
  <c r="G5" i="4"/>
  <c r="E18" i="4"/>
  <c r="L18" i="4"/>
  <c r="K18" i="4"/>
  <c r="J18" i="4"/>
  <c r="I18" i="4"/>
  <c r="H18" i="4"/>
  <c r="G18" i="4"/>
  <c r="F18" i="4"/>
  <c r="F4" i="4"/>
  <c r="L4" i="4"/>
  <c r="J4" i="4"/>
  <c r="K4" i="4"/>
  <c r="G4" i="4"/>
  <c r="F12" i="4"/>
  <c r="L12" i="4"/>
  <c r="I12" i="4"/>
  <c r="K12" i="4"/>
  <c r="J12" i="4"/>
  <c r="H12" i="4"/>
  <c r="G12" i="4"/>
  <c r="F8" i="4"/>
  <c r="L8" i="4"/>
  <c r="K8" i="4"/>
  <c r="J8" i="4"/>
  <c r="G8" i="4"/>
  <c r="I8" i="4"/>
  <c r="H8" i="4"/>
  <c r="F21" i="4"/>
  <c r="L21" i="4"/>
  <c r="G21" i="4"/>
  <c r="T48" i="3"/>
  <c r="W48" i="3"/>
  <c r="U48" i="3"/>
  <c r="S48" i="3"/>
  <c r="V48" i="3"/>
  <c r="W14" i="3"/>
  <c r="V14" i="3"/>
  <c r="U14" i="3"/>
  <c r="T14" i="3"/>
  <c r="S14" i="3"/>
  <c r="W47" i="3"/>
  <c r="U47" i="3"/>
  <c r="S47" i="3"/>
  <c r="V47" i="3"/>
  <c r="T47" i="3"/>
  <c r="W17" i="3"/>
  <c r="V17" i="3"/>
  <c r="U17" i="3"/>
  <c r="T17" i="3"/>
  <c r="S17" i="3"/>
  <c r="W10" i="3"/>
  <c r="V10" i="3"/>
  <c r="U10" i="3"/>
  <c r="T10" i="3"/>
  <c r="S10" i="3"/>
  <c r="W8" i="3"/>
  <c r="V8" i="3"/>
  <c r="U8" i="3"/>
  <c r="T8" i="3"/>
  <c r="S8" i="3"/>
  <c r="W26" i="3"/>
  <c r="S26" i="3"/>
  <c r="V26" i="3"/>
  <c r="T26" i="3"/>
  <c r="U26" i="3"/>
  <c r="V6" i="3"/>
  <c r="P6" i="3"/>
  <c r="P7" i="3" s="1"/>
  <c r="U6" i="3"/>
  <c r="S6" i="3"/>
  <c r="T6" i="3"/>
  <c r="W6" i="3"/>
  <c r="W20" i="3"/>
  <c r="V20" i="3"/>
  <c r="U20" i="3"/>
  <c r="T20" i="3"/>
  <c r="S20" i="3"/>
  <c r="P40" i="3"/>
  <c r="X40" i="3" s="1"/>
  <c r="V11" i="3"/>
  <c r="W11" i="3"/>
  <c r="U11" i="3"/>
  <c r="T11" i="3"/>
  <c r="S11" i="3"/>
  <c r="P8" i="3"/>
  <c r="P10" i="3" s="1"/>
  <c r="P36" i="3"/>
  <c r="X36" i="3" s="1"/>
  <c r="I12" i="2"/>
  <c r="H13" i="2"/>
  <c r="R17" i="3"/>
  <c r="O19" i="3"/>
  <c r="X19" i="3" s="1"/>
  <c r="P17" i="3"/>
  <c r="Q17" i="3"/>
  <c r="O18" i="3"/>
  <c r="X18" i="3" s="1"/>
  <c r="M16" i="3"/>
  <c r="M15" i="3"/>
  <c r="L9" i="3"/>
  <c r="L10" i="3"/>
  <c r="L12" i="3"/>
  <c r="L13" i="3"/>
  <c r="O16" i="3"/>
  <c r="X16" i="3" s="1"/>
  <c r="P14" i="3"/>
  <c r="R14" i="3"/>
  <c r="O15" i="3"/>
  <c r="X15" i="3" s="1"/>
  <c r="Q14" i="3"/>
  <c r="M27" i="3"/>
  <c r="M24" i="3"/>
  <c r="M25" i="3" s="1"/>
  <c r="N9" i="3"/>
  <c r="N10" i="3"/>
  <c r="L38" i="3"/>
  <c r="L40" i="3" s="1"/>
  <c r="L18" i="3"/>
  <c r="L19" i="3"/>
  <c r="M38" i="3"/>
  <c r="M40" i="3" s="1"/>
  <c r="L24" i="3"/>
  <c r="L25" i="3" s="1"/>
  <c r="L27" i="3"/>
  <c r="O27" i="3"/>
  <c r="X27" i="3" s="1"/>
  <c r="P26" i="3"/>
  <c r="R26" i="3"/>
  <c r="Q26" i="3"/>
  <c r="O24" i="3"/>
  <c r="X24" i="3" s="1"/>
  <c r="Q48" i="3"/>
  <c r="P48" i="3"/>
  <c r="R48" i="3"/>
  <c r="N24" i="3"/>
  <c r="N25" i="3" s="1"/>
  <c r="N27" i="3"/>
  <c r="N15" i="3"/>
  <c r="N16" i="3"/>
  <c r="Q6" i="3"/>
  <c r="Q7" i="3" s="1"/>
  <c r="O7" i="3"/>
  <c r="X7" i="3" s="1"/>
  <c r="R6" i="3"/>
  <c r="R7" i="3" s="1"/>
  <c r="M22" i="3"/>
  <c r="M21" i="3"/>
  <c r="L15" i="3"/>
  <c r="L16" i="3"/>
  <c r="R47" i="3"/>
  <c r="P47" i="3"/>
  <c r="Q47" i="3"/>
  <c r="L21" i="3"/>
  <c r="L22" i="3"/>
  <c r="N38" i="3"/>
  <c r="N40" i="3" s="1"/>
  <c r="N22" i="3"/>
  <c r="N21" i="3"/>
  <c r="O22" i="3"/>
  <c r="X22" i="3" s="1"/>
  <c r="P20" i="3"/>
  <c r="R20" i="3"/>
  <c r="O21" i="3"/>
  <c r="X21" i="3" s="1"/>
  <c r="Q20" i="3"/>
  <c r="R11" i="3"/>
  <c r="O13" i="3"/>
  <c r="X13" i="3" s="1"/>
  <c r="P11" i="3"/>
  <c r="O12" i="3"/>
  <c r="X12" i="3" s="1"/>
  <c r="Q11" i="3"/>
  <c r="M10" i="3"/>
  <c r="M9" i="3"/>
  <c r="E15" i="4"/>
  <c r="E20" i="4"/>
  <c r="E11" i="4"/>
  <c r="F7" i="4"/>
  <c r="E14" i="4"/>
  <c r="E10" i="4"/>
  <c r="E6" i="4"/>
  <c r="E13" i="4"/>
  <c r="E9" i="4"/>
  <c r="E5" i="4"/>
  <c r="E19" i="4"/>
  <c r="E4" i="4"/>
  <c r="E12" i="4"/>
  <c r="E8" i="4"/>
  <c r="E42" i="1"/>
  <c r="AS37" i="3" l="1"/>
  <c r="AU37" i="3"/>
  <c r="AR37" i="3"/>
  <c r="AQ37" i="3"/>
  <c r="AP37" i="3"/>
  <c r="AO37" i="3"/>
  <c r="AR48" i="3"/>
  <c r="AP48" i="3"/>
  <c r="AO48" i="3"/>
  <c r="AS29" i="3"/>
  <c r="AU29" i="3"/>
  <c r="AR29" i="3"/>
  <c r="AQ29" i="3"/>
  <c r="AP29" i="3"/>
  <c r="AO29" i="3"/>
  <c r="AR47" i="3"/>
  <c r="AP47" i="3"/>
  <c r="AO47" i="3"/>
  <c r="AS41" i="3"/>
  <c r="AU41" i="3"/>
  <c r="AR41" i="3"/>
  <c r="AP41" i="3"/>
  <c r="AQ41" i="3"/>
  <c r="AO41" i="3"/>
  <c r="AS33" i="3"/>
  <c r="AU33" i="3"/>
  <c r="AR33" i="3"/>
  <c r="AP33" i="3"/>
  <c r="AQ33" i="3"/>
  <c r="AO33" i="3"/>
  <c r="AM10" i="3"/>
  <c r="AN10" i="3"/>
  <c r="AM38" i="3"/>
  <c r="AN38" i="3"/>
  <c r="AA38" i="3"/>
  <c r="AM11" i="3"/>
  <c r="AN11" i="3"/>
  <c r="AM17" i="3"/>
  <c r="AN17" i="3"/>
  <c r="AM34" i="3"/>
  <c r="AN34" i="3"/>
  <c r="AM8" i="3"/>
  <c r="AN8" i="3"/>
  <c r="AM20" i="3"/>
  <c r="AN20" i="3"/>
  <c r="AM14" i="3"/>
  <c r="AN14" i="3"/>
  <c r="AA30" i="3"/>
  <c r="AM30" i="3"/>
  <c r="AN30" i="3"/>
  <c r="Q9" i="3"/>
  <c r="U9" i="3"/>
  <c r="AM6" i="3"/>
  <c r="AN6" i="3"/>
  <c r="AM26" i="3"/>
  <c r="AN26" i="3"/>
  <c r="AM42" i="3"/>
  <c r="AN42" i="3"/>
  <c r="AM32" i="3"/>
  <c r="AN32" i="3"/>
  <c r="AN11" i="2"/>
  <c r="AO11" i="2"/>
  <c r="AB8" i="4"/>
  <c r="Y8" i="4"/>
  <c r="X8" i="4"/>
  <c r="W8" i="4"/>
  <c r="V8" i="4"/>
  <c r="U8" i="4"/>
  <c r="AB5" i="4"/>
  <c r="X5" i="4"/>
  <c r="Y5" i="4"/>
  <c r="W5" i="4"/>
  <c r="V5" i="4"/>
  <c r="U5" i="4"/>
  <c r="AB14" i="4"/>
  <c r="Y14" i="4"/>
  <c r="X14" i="4"/>
  <c r="W14" i="4"/>
  <c r="U14" i="4"/>
  <c r="V14" i="4"/>
  <c r="AB12" i="4"/>
  <c r="X12" i="4"/>
  <c r="Y12" i="4"/>
  <c r="W12" i="4"/>
  <c r="V12" i="4"/>
  <c r="U12" i="4"/>
  <c r="AB11" i="4"/>
  <c r="Y11" i="4"/>
  <c r="X11" i="4"/>
  <c r="W11" i="4"/>
  <c r="V11" i="4"/>
  <c r="U11" i="4"/>
  <c r="AB9" i="4"/>
  <c r="Y9" i="4"/>
  <c r="X9" i="4"/>
  <c r="W9" i="4"/>
  <c r="V9" i="4"/>
  <c r="U9" i="4"/>
  <c r="AB15" i="4"/>
  <c r="Y15" i="4"/>
  <c r="X15" i="4"/>
  <c r="W15" i="4"/>
  <c r="V15" i="4"/>
  <c r="U15" i="4"/>
  <c r="AB10" i="4"/>
  <c r="Y10" i="4"/>
  <c r="X10" i="4"/>
  <c r="W10" i="4"/>
  <c r="V10" i="4"/>
  <c r="U10" i="4"/>
  <c r="AB7" i="4"/>
  <c r="Y7" i="4"/>
  <c r="X7" i="4"/>
  <c r="W7" i="4"/>
  <c r="U7" i="4"/>
  <c r="V7" i="4"/>
  <c r="AB13" i="4"/>
  <c r="X13" i="4"/>
  <c r="Y13" i="4"/>
  <c r="W13" i="4"/>
  <c r="V13" i="4"/>
  <c r="U13" i="4"/>
  <c r="AB6" i="4"/>
  <c r="Y6" i="4"/>
  <c r="X6" i="4"/>
  <c r="W6" i="4"/>
  <c r="U6" i="4"/>
  <c r="V6" i="4"/>
  <c r="AK26" i="3"/>
  <c r="AJ26" i="3"/>
  <c r="AI26" i="3"/>
  <c r="AC34" i="3"/>
  <c r="AJ34" i="3"/>
  <c r="AK34" i="3"/>
  <c r="AI34" i="3"/>
  <c r="AK6" i="3"/>
  <c r="AJ6" i="3"/>
  <c r="AI6" i="3"/>
  <c r="AK14" i="3"/>
  <c r="AJ14" i="3"/>
  <c r="AI14" i="3"/>
  <c r="AJ30" i="3"/>
  <c r="AK30" i="3"/>
  <c r="AI30" i="3"/>
  <c r="AK48" i="3"/>
  <c r="AJ48" i="3"/>
  <c r="AH48" i="3"/>
  <c r="AC30" i="3"/>
  <c r="AK47" i="3"/>
  <c r="AJ47" i="3"/>
  <c r="AH47" i="3"/>
  <c r="AJ42" i="3"/>
  <c r="AK42" i="3"/>
  <c r="AI42" i="3"/>
  <c r="AJ32" i="3"/>
  <c r="AK32" i="3"/>
  <c r="AI32" i="3"/>
  <c r="AK11" i="3"/>
  <c r="AJ11" i="3"/>
  <c r="AI11" i="3"/>
  <c r="AK17" i="3"/>
  <c r="AJ17" i="3"/>
  <c r="AI17" i="3"/>
  <c r="AK8" i="3"/>
  <c r="AJ8" i="3"/>
  <c r="AI8" i="3"/>
  <c r="AK10" i="3"/>
  <c r="AJ10" i="3"/>
  <c r="AI10" i="3"/>
  <c r="AK20" i="3"/>
  <c r="AJ20" i="3"/>
  <c r="AI20" i="3"/>
  <c r="AC38" i="3"/>
  <c r="AJ38" i="3"/>
  <c r="AK38" i="3"/>
  <c r="AI38" i="3"/>
  <c r="AL11" i="2"/>
  <c r="AK11" i="2"/>
  <c r="AJ11" i="2"/>
  <c r="AI11" i="2"/>
  <c r="AH11" i="2"/>
  <c r="U44" i="3"/>
  <c r="S44" i="3"/>
  <c r="W44" i="3"/>
  <c r="AH30" i="3"/>
  <c r="AG30" i="3"/>
  <c r="AH42" i="3"/>
  <c r="AG42" i="3"/>
  <c r="AH34" i="3"/>
  <c r="AG34" i="3"/>
  <c r="AH38" i="3"/>
  <c r="AG38" i="3"/>
  <c r="Q44" i="3"/>
  <c r="R44" i="3"/>
  <c r="AH32" i="3"/>
  <c r="AG32" i="3"/>
  <c r="T44" i="3"/>
  <c r="Z44" i="3"/>
  <c r="AL44" i="3" s="1"/>
  <c r="V9" i="3"/>
  <c r="R9" i="3"/>
  <c r="AH6" i="3"/>
  <c r="AG6" i="3"/>
  <c r="AG47" i="3"/>
  <c r="S9" i="3"/>
  <c r="W9" i="3"/>
  <c r="AG48" i="3"/>
  <c r="AG17" i="3"/>
  <c r="AH17" i="3"/>
  <c r="AG8" i="3"/>
  <c r="AH8" i="3"/>
  <c r="AH10" i="3"/>
  <c r="AG10" i="3"/>
  <c r="AG20" i="3"/>
  <c r="AH20" i="3"/>
  <c r="AG26" i="3"/>
  <c r="AH26" i="3"/>
  <c r="T9" i="3"/>
  <c r="AH11" i="3"/>
  <c r="AG11" i="3"/>
  <c r="AH14" i="3"/>
  <c r="AG14" i="3"/>
  <c r="T12" i="4"/>
  <c r="S12" i="4"/>
  <c r="R12" i="4"/>
  <c r="Q12" i="4"/>
  <c r="P12" i="4"/>
  <c r="O12" i="4"/>
  <c r="T10" i="4"/>
  <c r="R10" i="4"/>
  <c r="S10" i="4"/>
  <c r="Q10" i="4"/>
  <c r="P10" i="4"/>
  <c r="O10" i="4"/>
  <c r="T9" i="4"/>
  <c r="S9" i="4"/>
  <c r="R9" i="4"/>
  <c r="Q9" i="4"/>
  <c r="P9" i="4"/>
  <c r="O9" i="4"/>
  <c r="T8" i="4"/>
  <c r="S8" i="4"/>
  <c r="R8" i="4"/>
  <c r="P8" i="4"/>
  <c r="O8" i="4"/>
  <c r="Q8" i="4"/>
  <c r="T7" i="4"/>
  <c r="R7" i="4"/>
  <c r="S7" i="4"/>
  <c r="Q7" i="4"/>
  <c r="P7" i="4"/>
  <c r="O7" i="4"/>
  <c r="T5" i="4"/>
  <c r="S5" i="4"/>
  <c r="R5" i="4"/>
  <c r="Q5" i="4"/>
  <c r="P5" i="4"/>
  <c r="O5" i="4"/>
  <c r="T13" i="4"/>
  <c r="S13" i="4"/>
  <c r="R13" i="4"/>
  <c r="Q13" i="4"/>
  <c r="P13" i="4"/>
  <c r="O13" i="4"/>
  <c r="T6" i="4"/>
  <c r="R6" i="4"/>
  <c r="S6" i="4"/>
  <c r="O6" i="4"/>
  <c r="Q6" i="4"/>
  <c r="P6" i="4"/>
  <c r="T14" i="4"/>
  <c r="R14" i="4"/>
  <c r="S14" i="4"/>
  <c r="O14" i="4"/>
  <c r="Q14" i="4"/>
  <c r="P14" i="4"/>
  <c r="T11" i="4"/>
  <c r="R11" i="4"/>
  <c r="S11" i="4"/>
  <c r="P11" i="4"/>
  <c r="Q11" i="4"/>
  <c r="O11" i="4"/>
  <c r="T15" i="4"/>
  <c r="R15" i="4"/>
  <c r="S15" i="4"/>
  <c r="Q15" i="4"/>
  <c r="O15" i="4"/>
  <c r="P15" i="4"/>
  <c r="P21" i="4"/>
  <c r="O21" i="4"/>
  <c r="AF11" i="3"/>
  <c r="AF14" i="3"/>
  <c r="Z31" i="3"/>
  <c r="AL31" i="3" s="1"/>
  <c r="AC42" i="3"/>
  <c r="AA44" i="3"/>
  <c r="AF6" i="3"/>
  <c r="Z35" i="3"/>
  <c r="AL35" i="3" s="1"/>
  <c r="AF17" i="3"/>
  <c r="AF8" i="3"/>
  <c r="AF10" i="3"/>
  <c r="AF20" i="3"/>
  <c r="Y44" i="3"/>
  <c r="V44" i="3"/>
  <c r="AA42" i="3"/>
  <c r="Z43" i="3"/>
  <c r="AL43" i="3" s="1"/>
  <c r="P9" i="3"/>
  <c r="AG11" i="2"/>
  <c r="AE11" i="2"/>
  <c r="AF11" i="2"/>
  <c r="AF48" i="3"/>
  <c r="AE48" i="3"/>
  <c r="AB48" i="3"/>
  <c r="AD48" i="3"/>
  <c r="AC48" i="3"/>
  <c r="AA48" i="3"/>
  <c r="AE17" i="3"/>
  <c r="AD17" i="3"/>
  <c r="AE8" i="3"/>
  <c r="AD8" i="3"/>
  <c r="AE10" i="3"/>
  <c r="AD10" i="3"/>
  <c r="AD20" i="3"/>
  <c r="AE20" i="3"/>
  <c r="AD43" i="3"/>
  <c r="AE11" i="3"/>
  <c r="AD11" i="3"/>
  <c r="AE14" i="3"/>
  <c r="AD14" i="3"/>
  <c r="AF32" i="3"/>
  <c r="AE32" i="3"/>
  <c r="AD32" i="3"/>
  <c r="AB32" i="3"/>
  <c r="Z40" i="3"/>
  <c r="AL40" i="3" s="1"/>
  <c r="V40" i="3"/>
  <c r="R40" i="3"/>
  <c r="W40" i="3"/>
  <c r="S40" i="3"/>
  <c r="Q40" i="3"/>
  <c r="Y40" i="3"/>
  <c r="T40" i="3"/>
  <c r="U40" i="3"/>
  <c r="AE6" i="3"/>
  <c r="AD6" i="3"/>
  <c r="AF26" i="3"/>
  <c r="AE26" i="3"/>
  <c r="AD26" i="3"/>
  <c r="AF30" i="3"/>
  <c r="AD30" i="3"/>
  <c r="AE30" i="3"/>
  <c r="AB30" i="3"/>
  <c r="AF42" i="3"/>
  <c r="AE42" i="3"/>
  <c r="AD42" i="3"/>
  <c r="AB42" i="3"/>
  <c r="AE44" i="3"/>
  <c r="Z36" i="3"/>
  <c r="AL36" i="3" s="1"/>
  <c r="V36" i="3"/>
  <c r="R36" i="3"/>
  <c r="W36" i="3"/>
  <c r="S36" i="3"/>
  <c r="Y36" i="3"/>
  <c r="T36" i="3"/>
  <c r="Q36" i="3"/>
  <c r="U36" i="3"/>
  <c r="AF47" i="3"/>
  <c r="AE47" i="3"/>
  <c r="AD47" i="3"/>
  <c r="AA47" i="3"/>
  <c r="AB47" i="3"/>
  <c r="AF34" i="3"/>
  <c r="AE34" i="3"/>
  <c r="AD34" i="3"/>
  <c r="AB34" i="3"/>
  <c r="AF38" i="3"/>
  <c r="AD38" i="3"/>
  <c r="AE38" i="3"/>
  <c r="AB38" i="3"/>
  <c r="Z39" i="3"/>
  <c r="AL39" i="3" s="1"/>
  <c r="AD11" i="2"/>
  <c r="AC11" i="2"/>
  <c r="AB11" i="2"/>
  <c r="Z22" i="3"/>
  <c r="AL22" i="3" s="1"/>
  <c r="Y22" i="3"/>
  <c r="AA32" i="3"/>
  <c r="AC32" i="3"/>
  <c r="AC6" i="3"/>
  <c r="AB6" i="3"/>
  <c r="AA6" i="3"/>
  <c r="AC26" i="3"/>
  <c r="AA26" i="3"/>
  <c r="AB26" i="3"/>
  <c r="AA40" i="3"/>
  <c r="Z7" i="3"/>
  <c r="AL7" i="3" s="1"/>
  <c r="Y7" i="3"/>
  <c r="Z16" i="3"/>
  <c r="AL16" i="3" s="1"/>
  <c r="Y16" i="3"/>
  <c r="Z19" i="3"/>
  <c r="AL19" i="3" s="1"/>
  <c r="Y19" i="3"/>
  <c r="Z9" i="3"/>
  <c r="AL9" i="3" s="1"/>
  <c r="Y9" i="3"/>
  <c r="AB10" i="3"/>
  <c r="AA10" i="3"/>
  <c r="AC10" i="3"/>
  <c r="AA20" i="3"/>
  <c r="AC20" i="3"/>
  <c r="AB20" i="3"/>
  <c r="Z12" i="3"/>
  <c r="AL12" i="3" s="1"/>
  <c r="Y12" i="3"/>
  <c r="AA8" i="3"/>
  <c r="AC8" i="3"/>
  <c r="AB8" i="3"/>
  <c r="Z21" i="3"/>
  <c r="AL21" i="3" s="1"/>
  <c r="Y21" i="3"/>
  <c r="Z13" i="3"/>
  <c r="AL13" i="3" s="1"/>
  <c r="Y13" i="3"/>
  <c r="Z24" i="3"/>
  <c r="AL24" i="3" s="1"/>
  <c r="Y24" i="3"/>
  <c r="Z27" i="3"/>
  <c r="AL27" i="3" s="1"/>
  <c r="Y27" i="3"/>
  <c r="Z15" i="3"/>
  <c r="AL15" i="3" s="1"/>
  <c r="Y15" i="3"/>
  <c r="Z18" i="3"/>
  <c r="AL18" i="3" s="1"/>
  <c r="Y18" i="3"/>
  <c r="AA17" i="3"/>
  <c r="AC17" i="3"/>
  <c r="AB17" i="3"/>
  <c r="AC11" i="3"/>
  <c r="AB11" i="3"/>
  <c r="AA11" i="3"/>
  <c r="AB14" i="3"/>
  <c r="AC14" i="3"/>
  <c r="AA14" i="3"/>
  <c r="W22" i="3"/>
  <c r="V22" i="3"/>
  <c r="U22" i="3"/>
  <c r="T22" i="3"/>
  <c r="S22" i="3"/>
  <c r="V27" i="3"/>
  <c r="W27" i="3"/>
  <c r="S27" i="3"/>
  <c r="U27" i="3"/>
  <c r="T27" i="3"/>
  <c r="W16" i="3"/>
  <c r="V16" i="3"/>
  <c r="U16" i="3"/>
  <c r="T16" i="3"/>
  <c r="S16" i="3"/>
  <c r="S19" i="3"/>
  <c r="V19" i="3"/>
  <c r="U19" i="3"/>
  <c r="W19" i="3"/>
  <c r="T19" i="3"/>
  <c r="W15" i="3"/>
  <c r="T15" i="3"/>
  <c r="S15" i="3"/>
  <c r="V15" i="3"/>
  <c r="U15" i="3"/>
  <c r="W18" i="3"/>
  <c r="V18" i="3"/>
  <c r="U18" i="3"/>
  <c r="T18" i="3"/>
  <c r="S18" i="3"/>
  <c r="U7" i="3"/>
  <c r="T7" i="3"/>
  <c r="S7" i="3"/>
  <c r="W7" i="3"/>
  <c r="V7" i="3"/>
  <c r="W12" i="3"/>
  <c r="V12" i="3"/>
  <c r="U12" i="3"/>
  <c r="T12" i="3"/>
  <c r="S12" i="3"/>
  <c r="O25" i="3"/>
  <c r="X25" i="3" s="1"/>
  <c r="U24" i="3"/>
  <c r="V24" i="3"/>
  <c r="T24" i="3"/>
  <c r="W24" i="3"/>
  <c r="S24" i="3"/>
  <c r="W21" i="3"/>
  <c r="V21" i="3"/>
  <c r="U21" i="3"/>
  <c r="T21" i="3"/>
  <c r="S21" i="3"/>
  <c r="W13" i="3"/>
  <c r="V13" i="3"/>
  <c r="U13" i="3"/>
  <c r="T13" i="3"/>
  <c r="S13" i="3"/>
  <c r="J12" i="2"/>
  <c r="I13" i="2"/>
  <c r="Q16" i="3"/>
  <c r="Q15" i="3"/>
  <c r="R18" i="3"/>
  <c r="R19" i="3"/>
  <c r="R12" i="3"/>
  <c r="R13" i="3"/>
  <c r="Q22" i="3"/>
  <c r="Q21" i="3"/>
  <c r="P12" i="3"/>
  <c r="P13" i="3"/>
  <c r="R16" i="3"/>
  <c r="R15" i="3"/>
  <c r="Q19" i="3"/>
  <c r="Q18" i="3"/>
  <c r="Q13" i="3"/>
  <c r="Q12" i="3"/>
  <c r="P21" i="3"/>
  <c r="P22" i="3"/>
  <c r="R24" i="3"/>
  <c r="R25" i="3" s="1"/>
  <c r="R27" i="3"/>
  <c r="P24" i="3"/>
  <c r="P25" i="3" s="1"/>
  <c r="P27" i="3"/>
  <c r="R21" i="3"/>
  <c r="R22" i="3"/>
  <c r="Q24" i="3"/>
  <c r="Q25" i="3" s="1"/>
  <c r="Q27" i="3"/>
  <c r="P15" i="3"/>
  <c r="P16" i="3"/>
  <c r="P19" i="3"/>
  <c r="P18" i="3"/>
  <c r="AU32" i="3" l="1"/>
  <c r="AS32" i="3"/>
  <c r="AR32" i="3"/>
  <c r="AP32" i="3"/>
  <c r="AQ32" i="3"/>
  <c r="AO32" i="3"/>
  <c r="AU26" i="3"/>
  <c r="AS26" i="3"/>
  <c r="AR26" i="3"/>
  <c r="AP26" i="3"/>
  <c r="AQ26" i="3"/>
  <c r="AO26" i="3"/>
  <c r="AS10" i="3"/>
  <c r="AU10" i="3"/>
  <c r="AR10" i="3"/>
  <c r="AQ10" i="3"/>
  <c r="AP10" i="3"/>
  <c r="AO10" i="3"/>
  <c r="AS14" i="3"/>
  <c r="AU14" i="3"/>
  <c r="AR14" i="3"/>
  <c r="AP14" i="3"/>
  <c r="AQ14" i="3"/>
  <c r="AO14" i="3"/>
  <c r="AU8" i="3"/>
  <c r="AS8" i="3"/>
  <c r="AR8" i="3"/>
  <c r="AP8" i="3"/>
  <c r="AQ8" i="3"/>
  <c r="AO8" i="3"/>
  <c r="AU17" i="3"/>
  <c r="AS17" i="3"/>
  <c r="AR17" i="3"/>
  <c r="AP17" i="3"/>
  <c r="AQ17" i="3"/>
  <c r="AO17" i="3"/>
  <c r="AS42" i="3"/>
  <c r="AU42" i="3"/>
  <c r="AR42" i="3"/>
  <c r="AQ42" i="3"/>
  <c r="AP42" i="3"/>
  <c r="AO42" i="3"/>
  <c r="AU6" i="3"/>
  <c r="AS6" i="3"/>
  <c r="AR6" i="3"/>
  <c r="AQ6" i="3"/>
  <c r="AP6" i="3"/>
  <c r="AO6" i="3"/>
  <c r="AS30" i="3"/>
  <c r="AU30" i="3"/>
  <c r="AR30" i="3"/>
  <c r="AQ30" i="3"/>
  <c r="AP30" i="3"/>
  <c r="AO30" i="3"/>
  <c r="AS38" i="3"/>
  <c r="AU38" i="3"/>
  <c r="AR38" i="3"/>
  <c r="AQ38" i="3"/>
  <c r="AP38" i="3"/>
  <c r="AO38" i="3"/>
  <c r="AU20" i="3"/>
  <c r="AS20" i="3"/>
  <c r="AR20" i="3"/>
  <c r="AP20" i="3"/>
  <c r="AQ20" i="3"/>
  <c r="AO20" i="3"/>
  <c r="AU34" i="3"/>
  <c r="AS34" i="3"/>
  <c r="AR34" i="3"/>
  <c r="AQ34" i="3"/>
  <c r="AP34" i="3"/>
  <c r="AO34" i="3"/>
  <c r="AS11" i="3"/>
  <c r="AU11" i="3"/>
  <c r="AR11" i="3"/>
  <c r="AQ11" i="3"/>
  <c r="AP11" i="3"/>
  <c r="AO11" i="3"/>
  <c r="AM12" i="3"/>
  <c r="AN12" i="3"/>
  <c r="AM9" i="3"/>
  <c r="AN9" i="3"/>
  <c r="AM16" i="3"/>
  <c r="AN16" i="3"/>
  <c r="AM27" i="3"/>
  <c r="AN27" i="3"/>
  <c r="AM22" i="3"/>
  <c r="AN22" i="3"/>
  <c r="AM19" i="3"/>
  <c r="AN19" i="3"/>
  <c r="AM7" i="3"/>
  <c r="AN7" i="3"/>
  <c r="AM40" i="3"/>
  <c r="AN40" i="3"/>
  <c r="AM43" i="3"/>
  <c r="AN43" i="3"/>
  <c r="AM35" i="3"/>
  <c r="AN35" i="3"/>
  <c r="AM31" i="3"/>
  <c r="AN31" i="3"/>
  <c r="AM44" i="3"/>
  <c r="AN44" i="3"/>
  <c r="AM18" i="3"/>
  <c r="AN18" i="3"/>
  <c r="AM13" i="3"/>
  <c r="AN13" i="3"/>
  <c r="AM39" i="3"/>
  <c r="AN39" i="3"/>
  <c r="AM15" i="3"/>
  <c r="AN15" i="3"/>
  <c r="AM24" i="3"/>
  <c r="AN24" i="3"/>
  <c r="AM21" i="3"/>
  <c r="AN21" i="3"/>
  <c r="AM36" i="3"/>
  <c r="AN36" i="3"/>
  <c r="AK18" i="3"/>
  <c r="AJ18" i="3"/>
  <c r="AI18" i="3"/>
  <c r="AK13" i="3"/>
  <c r="AJ13" i="3"/>
  <c r="AI13" i="3"/>
  <c r="AJ16" i="3"/>
  <c r="AK16" i="3"/>
  <c r="AI16" i="3"/>
  <c r="AC36" i="3"/>
  <c r="AJ36" i="3"/>
  <c r="AK36" i="3"/>
  <c r="AI36" i="3"/>
  <c r="AE43" i="3"/>
  <c r="AJ43" i="3"/>
  <c r="AK43" i="3"/>
  <c r="AI43" i="3"/>
  <c r="AF35" i="3"/>
  <c r="AJ35" i="3"/>
  <c r="AK35" i="3"/>
  <c r="AI35" i="3"/>
  <c r="AF31" i="3"/>
  <c r="AJ31" i="3"/>
  <c r="AK31" i="3"/>
  <c r="AI31" i="3"/>
  <c r="AK15" i="3"/>
  <c r="AJ15" i="3"/>
  <c r="AI15" i="3"/>
  <c r="AK24" i="3"/>
  <c r="AJ24" i="3"/>
  <c r="AI24" i="3"/>
  <c r="AK21" i="3"/>
  <c r="AJ21" i="3"/>
  <c r="AI21" i="3"/>
  <c r="AC43" i="3"/>
  <c r="AK19" i="3"/>
  <c r="AJ19" i="3"/>
  <c r="AI19" i="3"/>
  <c r="AK7" i="3"/>
  <c r="AJ7" i="3"/>
  <c r="AI7" i="3"/>
  <c r="AD31" i="3"/>
  <c r="AK27" i="3"/>
  <c r="AJ27" i="3"/>
  <c r="AI27" i="3"/>
  <c r="AJ12" i="3"/>
  <c r="AK12" i="3"/>
  <c r="AI12" i="3"/>
  <c r="AK9" i="3"/>
  <c r="AJ9" i="3"/>
  <c r="AI9" i="3"/>
  <c r="AJ40" i="3"/>
  <c r="AK40" i="3"/>
  <c r="AI40" i="3"/>
  <c r="AA31" i="3"/>
  <c r="AC40" i="3"/>
  <c r="AC35" i="3"/>
  <c r="AK22" i="3"/>
  <c r="AJ22" i="3"/>
  <c r="AI22" i="3"/>
  <c r="AA39" i="3"/>
  <c r="AJ39" i="3"/>
  <c r="AK39" i="3"/>
  <c r="AI39" i="3"/>
  <c r="AF44" i="3"/>
  <c r="AJ44" i="3"/>
  <c r="AK44" i="3"/>
  <c r="AI44" i="3"/>
  <c r="AB44" i="3"/>
  <c r="AD44" i="3"/>
  <c r="AB31" i="3"/>
  <c r="AC44" i="3"/>
  <c r="AC31" i="3"/>
  <c r="AA35" i="3"/>
  <c r="AE31" i="3"/>
  <c r="AH36" i="3"/>
  <c r="AG36" i="3"/>
  <c r="AH43" i="3"/>
  <c r="AG43" i="3"/>
  <c r="AH40" i="3"/>
  <c r="AG40" i="3"/>
  <c r="AF43" i="3"/>
  <c r="AH35" i="3"/>
  <c r="AG35" i="3"/>
  <c r="AH31" i="3"/>
  <c r="AG31" i="3"/>
  <c r="AH44" i="3"/>
  <c r="AG44" i="3"/>
  <c r="AG39" i="3"/>
  <c r="AH39" i="3"/>
  <c r="AB35" i="3"/>
  <c r="AA43" i="3"/>
  <c r="AC39" i="3"/>
  <c r="AB43" i="3"/>
  <c r="AE35" i="3"/>
  <c r="AD35" i="3"/>
  <c r="AH12" i="3"/>
  <c r="AG12" i="3"/>
  <c r="AG9" i="3"/>
  <c r="AH9" i="3"/>
  <c r="AH24" i="3"/>
  <c r="AG24" i="3"/>
  <c r="AH19" i="3"/>
  <c r="AG19" i="3"/>
  <c r="AH7" i="3"/>
  <c r="AG7" i="3"/>
  <c r="AH22" i="3"/>
  <c r="AG22" i="3"/>
  <c r="AG16" i="3"/>
  <c r="AH16" i="3"/>
  <c r="AH15" i="3"/>
  <c r="AG15" i="3"/>
  <c r="AG21" i="3"/>
  <c r="AH21" i="3"/>
  <c r="AH18" i="3"/>
  <c r="AG18" i="3"/>
  <c r="AG27" i="3"/>
  <c r="AH27" i="3"/>
  <c r="AG13" i="3"/>
  <c r="AH13" i="3"/>
  <c r="AF12" i="3"/>
  <c r="AF9" i="3"/>
  <c r="AF16" i="3"/>
  <c r="AF15" i="3"/>
  <c r="AF21" i="3"/>
  <c r="AF19" i="3"/>
  <c r="AF7" i="3"/>
  <c r="AF22" i="3"/>
  <c r="AA36" i="3"/>
  <c r="AF18" i="3"/>
  <c r="AF13" i="3"/>
  <c r="AD12" i="3"/>
  <c r="AE12" i="3"/>
  <c r="AD9" i="3"/>
  <c r="AE9" i="3"/>
  <c r="AE16" i="3"/>
  <c r="AD16" i="3"/>
  <c r="AE15" i="3"/>
  <c r="AD15" i="3"/>
  <c r="AF24" i="3"/>
  <c r="AD24" i="3"/>
  <c r="AE24" i="3"/>
  <c r="AD21" i="3"/>
  <c r="AE21" i="3"/>
  <c r="AF36" i="3"/>
  <c r="AE36" i="3"/>
  <c r="AD36" i="3"/>
  <c r="AB36" i="3"/>
  <c r="AE19" i="3"/>
  <c r="AD19" i="3"/>
  <c r="AE7" i="3"/>
  <c r="AD7" i="3"/>
  <c r="AE22" i="3"/>
  <c r="AD22" i="3"/>
  <c r="AF39" i="3"/>
  <c r="AD39" i="3"/>
  <c r="AE39" i="3"/>
  <c r="AB39" i="3"/>
  <c r="AF40" i="3"/>
  <c r="AE40" i="3"/>
  <c r="AD40" i="3"/>
  <c r="AB40" i="3"/>
  <c r="AE18" i="3"/>
  <c r="AD18" i="3"/>
  <c r="AF27" i="3"/>
  <c r="AD27" i="3"/>
  <c r="AE27" i="3"/>
  <c r="AE13" i="3"/>
  <c r="AD13" i="3"/>
  <c r="AC19" i="3"/>
  <c r="AB19" i="3"/>
  <c r="AA19" i="3"/>
  <c r="Z25" i="3"/>
  <c r="AL25" i="3" s="1"/>
  <c r="Y25" i="3"/>
  <c r="AB18" i="3"/>
  <c r="AA18" i="3"/>
  <c r="AC18" i="3"/>
  <c r="AA27" i="3"/>
  <c r="AC27" i="3"/>
  <c r="AB27" i="3"/>
  <c r="AA13" i="3"/>
  <c r="AB13" i="3"/>
  <c r="AC13" i="3"/>
  <c r="AC12" i="3"/>
  <c r="AB12" i="3"/>
  <c r="AA12" i="3"/>
  <c r="AA9" i="3"/>
  <c r="AB9" i="3"/>
  <c r="AC9" i="3"/>
  <c r="AC16" i="3"/>
  <c r="AA16" i="3"/>
  <c r="AB16" i="3"/>
  <c r="AC7" i="3"/>
  <c r="AB7" i="3"/>
  <c r="AA7" i="3"/>
  <c r="AC15" i="3"/>
  <c r="AB15" i="3"/>
  <c r="AA15" i="3"/>
  <c r="AB24" i="3"/>
  <c r="AA24" i="3"/>
  <c r="AC24" i="3"/>
  <c r="AA21" i="3"/>
  <c r="AB21" i="3"/>
  <c r="AC21" i="3"/>
  <c r="AB22" i="3"/>
  <c r="AA22" i="3"/>
  <c r="AC22" i="3"/>
  <c r="T25" i="3"/>
  <c r="W25" i="3"/>
  <c r="U25" i="3"/>
  <c r="V25" i="3"/>
  <c r="S25" i="3"/>
  <c r="J13" i="2"/>
  <c r="L12" i="2"/>
  <c r="K12" i="2"/>
  <c r="K13" i="2" s="1"/>
  <c r="AS21" i="3" l="1"/>
  <c r="AU21" i="3"/>
  <c r="AR21" i="3"/>
  <c r="AP21" i="3"/>
  <c r="AQ21" i="3"/>
  <c r="AO21" i="3"/>
  <c r="AS15" i="3"/>
  <c r="AU15" i="3"/>
  <c r="AR15" i="3"/>
  <c r="AQ15" i="3"/>
  <c r="AP15" i="3"/>
  <c r="AO15" i="3"/>
  <c r="AU13" i="3"/>
  <c r="AS13" i="3"/>
  <c r="AR13" i="3"/>
  <c r="AP13" i="3"/>
  <c r="AQ13" i="3"/>
  <c r="AO13" i="3"/>
  <c r="AS44" i="3"/>
  <c r="AU44" i="3"/>
  <c r="AR44" i="3"/>
  <c r="AP44" i="3"/>
  <c r="AQ44" i="3"/>
  <c r="AO44" i="3"/>
  <c r="AU35" i="3"/>
  <c r="AS35" i="3"/>
  <c r="AR35" i="3"/>
  <c r="AP35" i="3"/>
  <c r="AQ35" i="3"/>
  <c r="AO35" i="3"/>
  <c r="AU40" i="3"/>
  <c r="AS40" i="3"/>
  <c r="AR40" i="3"/>
  <c r="AP40" i="3"/>
  <c r="AQ40" i="3"/>
  <c r="AO40" i="3"/>
  <c r="AS19" i="3"/>
  <c r="AU19" i="3"/>
  <c r="AR19" i="3"/>
  <c r="AQ19" i="3"/>
  <c r="AP19" i="3"/>
  <c r="AO19" i="3"/>
  <c r="AU27" i="3"/>
  <c r="AS27" i="3"/>
  <c r="AR27" i="3"/>
  <c r="AP27" i="3"/>
  <c r="AQ27" i="3"/>
  <c r="AO27" i="3"/>
  <c r="AU9" i="3"/>
  <c r="AS9" i="3"/>
  <c r="AR9" i="3"/>
  <c r="AP9" i="3"/>
  <c r="AQ9" i="3"/>
  <c r="AO9" i="3"/>
  <c r="AU36" i="3"/>
  <c r="AS36" i="3"/>
  <c r="AR36" i="3"/>
  <c r="AP36" i="3"/>
  <c r="AQ36" i="3"/>
  <c r="AO36" i="3"/>
  <c r="AS24" i="3"/>
  <c r="AU24" i="3"/>
  <c r="AR24" i="3"/>
  <c r="AP24" i="3"/>
  <c r="AQ24" i="3"/>
  <c r="AO24" i="3"/>
  <c r="AU39" i="3"/>
  <c r="AS39" i="3"/>
  <c r="AR39" i="3"/>
  <c r="AP39" i="3"/>
  <c r="AQ39" i="3"/>
  <c r="AO39" i="3"/>
  <c r="AS18" i="3"/>
  <c r="AU18" i="3"/>
  <c r="AR18" i="3"/>
  <c r="AP18" i="3"/>
  <c r="AQ18" i="3"/>
  <c r="AO18" i="3"/>
  <c r="AU31" i="3"/>
  <c r="AS31" i="3"/>
  <c r="AR31" i="3"/>
  <c r="AP31" i="3"/>
  <c r="AQ31" i="3"/>
  <c r="AO31" i="3"/>
  <c r="AU43" i="3"/>
  <c r="AS43" i="3"/>
  <c r="AR43" i="3"/>
  <c r="AP43" i="3"/>
  <c r="AQ43" i="3"/>
  <c r="AO43" i="3"/>
  <c r="AS7" i="3"/>
  <c r="AU7" i="3"/>
  <c r="AR7" i="3"/>
  <c r="AQ7" i="3"/>
  <c r="AP7" i="3"/>
  <c r="AO7" i="3"/>
  <c r="AS22" i="3"/>
  <c r="AU22" i="3"/>
  <c r="AR22" i="3"/>
  <c r="AQ22" i="3"/>
  <c r="AP22" i="3"/>
  <c r="AO22" i="3"/>
  <c r="AU16" i="3"/>
  <c r="AS16" i="3"/>
  <c r="AR16" i="3"/>
  <c r="AP16" i="3"/>
  <c r="AQ16" i="3"/>
  <c r="AO16" i="3"/>
  <c r="AU12" i="3"/>
  <c r="AS12" i="3"/>
  <c r="AR12" i="3"/>
  <c r="AP12" i="3"/>
  <c r="AQ12" i="3"/>
  <c r="AO12" i="3"/>
  <c r="AM25" i="3"/>
  <c r="AN25" i="3"/>
  <c r="AK25" i="3"/>
  <c r="AJ25" i="3"/>
  <c r="AI25" i="3"/>
  <c r="AH25" i="3"/>
  <c r="AG25" i="3"/>
  <c r="AF25" i="3"/>
  <c r="AD25" i="3"/>
  <c r="AE25" i="3"/>
  <c r="AC25" i="3"/>
  <c r="AB25" i="3"/>
  <c r="AA25" i="3"/>
  <c r="L13" i="2"/>
  <c r="P12" i="2"/>
  <c r="Y12" i="2" s="1"/>
  <c r="N12" i="2"/>
  <c r="N13" i="2" s="1"/>
  <c r="M12" i="2"/>
  <c r="M13" i="2" s="1"/>
  <c r="O12" i="2"/>
  <c r="O13" i="2" s="1"/>
  <c r="AU25" i="3" l="1"/>
  <c r="AS25" i="3"/>
  <c r="AR25" i="3"/>
  <c r="AQ25" i="3"/>
  <c r="AP25" i="3"/>
  <c r="AO25" i="3"/>
  <c r="AA12" i="2"/>
  <c r="AM12" i="2" s="1"/>
  <c r="Z12" i="2"/>
  <c r="X12" i="2"/>
  <c r="V12" i="2"/>
  <c r="T12" i="2"/>
  <c r="W12" i="2"/>
  <c r="U12" i="2"/>
  <c r="P13" i="2"/>
  <c r="Y13" i="2" s="1"/>
  <c r="R12" i="2"/>
  <c r="R13" i="2" s="1"/>
  <c r="Q12" i="2"/>
  <c r="Q13" i="2" s="1"/>
  <c r="S12" i="2"/>
  <c r="S13" i="2" s="1"/>
  <c r="I44" i="1"/>
  <c r="J44" i="1" s="1"/>
  <c r="H48" i="1"/>
  <c r="F47" i="1"/>
  <c r="H47" i="1" s="1"/>
  <c r="G41" i="1"/>
  <c r="J35" i="1"/>
  <c r="F35" i="1"/>
  <c r="J34" i="1"/>
  <c r="F34" i="1"/>
  <c r="F32" i="1"/>
  <c r="G32" i="1" s="1"/>
  <c r="F31" i="1"/>
  <c r="I31" i="1" s="1"/>
  <c r="F30" i="1"/>
  <c r="F12" i="1"/>
  <c r="F27" i="1" s="1"/>
  <c r="F11" i="1"/>
  <c r="F26" i="1" s="1"/>
  <c r="F10" i="1"/>
  <c r="F25" i="1" s="1"/>
  <c r="F9" i="1"/>
  <c r="F24" i="1" s="1"/>
  <c r="F8" i="1"/>
  <c r="F23" i="1" s="1"/>
  <c r="F7" i="1"/>
  <c r="F22" i="1" s="1"/>
  <c r="F6" i="1"/>
  <c r="AO12" i="2" l="1"/>
  <c r="AU12" i="2" s="1"/>
  <c r="AN12" i="2"/>
  <c r="AK12" i="2"/>
  <c r="AL12" i="2"/>
  <c r="AJ12" i="2"/>
  <c r="AH12" i="2"/>
  <c r="AI12" i="2"/>
  <c r="AG12" i="2"/>
  <c r="G35" i="1"/>
  <c r="K35" i="1"/>
  <c r="G34" i="1"/>
  <c r="K34" i="1"/>
  <c r="AF12" i="2"/>
  <c r="AE12" i="2"/>
  <c r="AA13" i="2"/>
  <c r="AM13" i="2" s="1"/>
  <c r="Z13" i="2"/>
  <c r="AD12" i="2"/>
  <c r="AB12" i="2"/>
  <c r="AC12" i="2"/>
  <c r="X13" i="2"/>
  <c r="W13" i="2"/>
  <c r="V13" i="2"/>
  <c r="T13" i="2"/>
  <c r="U13" i="2"/>
  <c r="F17" i="1"/>
  <c r="F18" i="1"/>
  <c r="H11" i="1"/>
  <c r="H26" i="1" s="1"/>
  <c r="F19" i="1"/>
  <c r="I7" i="1"/>
  <c r="F15" i="1"/>
  <c r="F16" i="1"/>
  <c r="H12" i="1"/>
  <c r="H27" i="1" s="1"/>
  <c r="F20" i="1"/>
  <c r="G40" i="1"/>
  <c r="G42" i="1" s="1"/>
  <c r="F42" i="1"/>
  <c r="G6" i="1"/>
  <c r="I11" i="1"/>
  <c r="I34" i="1"/>
  <c r="I47" i="1"/>
  <c r="I6" i="1"/>
  <c r="I35" i="1"/>
  <c r="G31" i="1"/>
  <c r="H31" i="1"/>
  <c r="H32" i="1"/>
  <c r="H35" i="1"/>
  <c r="H46" i="1"/>
  <c r="K46" i="1"/>
  <c r="J7" i="1"/>
  <c r="J22" i="1" s="1"/>
  <c r="K7" i="1"/>
  <c r="K22" i="1" s="1"/>
  <c r="H10" i="1"/>
  <c r="H25" i="1" s="1"/>
  <c r="K10" i="1"/>
  <c r="K25" i="1" s="1"/>
  <c r="H30" i="1"/>
  <c r="K30" i="1"/>
  <c r="I46" i="1"/>
  <c r="G7" i="1"/>
  <c r="G22" i="1" s="1"/>
  <c r="J12" i="1"/>
  <c r="J27" i="1" s="1"/>
  <c r="K12" i="1"/>
  <c r="K27" i="1" s="1"/>
  <c r="I30" i="1"/>
  <c r="J47" i="1"/>
  <c r="K47" i="1"/>
  <c r="J48" i="1"/>
  <c r="K48" i="1"/>
  <c r="I9" i="1"/>
  <c r="I24" i="1" s="1"/>
  <c r="K9" i="1"/>
  <c r="K24" i="1" s="1"/>
  <c r="J8" i="1"/>
  <c r="J23" i="1" s="1"/>
  <c r="K8" i="1"/>
  <c r="K23" i="1" s="1"/>
  <c r="J41" i="1"/>
  <c r="K41" i="1"/>
  <c r="K44" i="1"/>
  <c r="G8" i="1"/>
  <c r="G23" i="1" s="1"/>
  <c r="J11" i="1"/>
  <c r="J26" i="1" s="1"/>
  <c r="K11" i="1"/>
  <c r="K26" i="1" s="1"/>
  <c r="H6" i="1"/>
  <c r="K6" i="1"/>
  <c r="H7" i="1"/>
  <c r="H22" i="1" s="1"/>
  <c r="H8" i="1"/>
  <c r="H23" i="1" s="1"/>
  <c r="G11" i="1"/>
  <c r="G26" i="1" s="1"/>
  <c r="G12" i="1"/>
  <c r="G27" i="1" s="1"/>
  <c r="J31" i="1"/>
  <c r="K31" i="1"/>
  <c r="J32" i="1"/>
  <c r="K32" i="1"/>
  <c r="H34" i="1"/>
  <c r="J40" i="1"/>
  <c r="K40" i="1"/>
  <c r="H41" i="1"/>
  <c r="G47" i="1"/>
  <c r="G48" i="1"/>
  <c r="I48" i="1"/>
  <c r="J46" i="1"/>
  <c r="I41" i="1"/>
  <c r="H40" i="1"/>
  <c r="I40" i="1"/>
  <c r="J30" i="1"/>
  <c r="G30" i="1"/>
  <c r="I32" i="1"/>
  <c r="J9" i="1"/>
  <c r="J24" i="1" s="1"/>
  <c r="I10" i="1"/>
  <c r="I25" i="1" s="1"/>
  <c r="J6" i="1"/>
  <c r="I8" i="1"/>
  <c r="I23" i="1" s="1"/>
  <c r="H9" i="1"/>
  <c r="H24" i="1" s="1"/>
  <c r="G10" i="1"/>
  <c r="G25" i="1" s="1"/>
  <c r="I12" i="1"/>
  <c r="I27" i="1" s="1"/>
  <c r="G9" i="1"/>
  <c r="G24" i="1" s="1"/>
  <c r="J10" i="1"/>
  <c r="J25" i="1" s="1"/>
  <c r="AP12" i="2" l="1"/>
  <c r="AV12" i="2"/>
  <c r="AT12" i="2"/>
  <c r="AS12" i="2"/>
  <c r="AQ12" i="2"/>
  <c r="AR12" i="2"/>
  <c r="AO13" i="2"/>
  <c r="AU13" i="2" s="1"/>
  <c r="AN13" i="2"/>
  <c r="AK13" i="2"/>
  <c r="AL13" i="2"/>
  <c r="AJ13" i="2"/>
  <c r="AH13" i="2"/>
  <c r="AI13" i="2"/>
  <c r="AG13" i="2"/>
  <c r="I19" i="1"/>
  <c r="I26" i="1"/>
  <c r="I15" i="1"/>
  <c r="I22" i="1"/>
  <c r="M35" i="1"/>
  <c r="L35" i="1"/>
  <c r="L34" i="1"/>
  <c r="M34" i="1"/>
  <c r="AF13" i="2"/>
  <c r="AE13" i="2"/>
  <c r="AD13" i="2"/>
  <c r="AB13" i="2"/>
  <c r="AC13" i="2"/>
  <c r="H20" i="1"/>
  <c r="H19" i="1"/>
  <c r="K42" i="1"/>
  <c r="H42" i="1"/>
  <c r="J42" i="1"/>
  <c r="I42" i="1"/>
  <c r="L41" i="1"/>
  <c r="M41" i="1"/>
  <c r="Q41" i="1" s="1"/>
  <c r="Z41" i="1" s="1"/>
  <c r="M8" i="1"/>
  <c r="L8" i="1"/>
  <c r="L23" i="1" s="1"/>
  <c r="L48" i="1"/>
  <c r="M48" i="1"/>
  <c r="Q48" i="1" s="1"/>
  <c r="Z48" i="1" s="1"/>
  <c r="M7" i="1"/>
  <c r="L7" i="1"/>
  <c r="L22" i="1" s="1"/>
  <c r="L31" i="1"/>
  <c r="M31" i="1"/>
  <c r="Q31" i="1" s="1"/>
  <c r="Z31" i="1" s="1"/>
  <c r="M6" i="1"/>
  <c r="L6" i="1"/>
  <c r="L40" i="1"/>
  <c r="M40" i="1"/>
  <c r="M11" i="1"/>
  <c r="L11" i="1"/>
  <c r="L26" i="1" s="1"/>
  <c r="L32" i="1"/>
  <c r="M32" i="1"/>
  <c r="Q32" i="1" s="1"/>
  <c r="Z32" i="1" s="1"/>
  <c r="L44" i="1"/>
  <c r="M44" i="1"/>
  <c r="Q44" i="1" s="1"/>
  <c r="Z44" i="1" s="1"/>
  <c r="M9" i="1"/>
  <c r="L9" i="1"/>
  <c r="L24" i="1" s="1"/>
  <c r="L47" i="1"/>
  <c r="M47" i="1"/>
  <c r="Q47" i="1" s="1"/>
  <c r="Z47" i="1" s="1"/>
  <c r="M12" i="1"/>
  <c r="L12" i="1"/>
  <c r="L27" i="1" s="1"/>
  <c r="L30" i="1"/>
  <c r="M30" i="1"/>
  <c r="Q30" i="1" s="1"/>
  <c r="Z30" i="1" s="1"/>
  <c r="M10" i="1"/>
  <c r="L10" i="1"/>
  <c r="L25" i="1" s="1"/>
  <c r="L46" i="1"/>
  <c r="M46" i="1"/>
  <c r="Q46" i="1" s="1"/>
  <c r="Z46" i="1" s="1"/>
  <c r="G17" i="1"/>
  <c r="J17" i="1"/>
  <c r="I20" i="1"/>
  <c r="K18" i="1"/>
  <c r="G18" i="1"/>
  <c r="J20" i="1"/>
  <c r="I16" i="1"/>
  <c r="G20" i="1"/>
  <c r="G16" i="1"/>
  <c r="J16" i="1"/>
  <c r="J15" i="1"/>
  <c r="G19" i="1"/>
  <c r="K17" i="1"/>
  <c r="K20" i="1"/>
  <c r="H16" i="1"/>
  <c r="K19" i="1"/>
  <c r="I17" i="1"/>
  <c r="H18" i="1"/>
  <c r="J18" i="1"/>
  <c r="H17" i="1"/>
  <c r="I18" i="1"/>
  <c r="H15" i="1"/>
  <c r="J19" i="1"/>
  <c r="K16" i="1"/>
  <c r="G15" i="1"/>
  <c r="K15" i="1"/>
  <c r="AP13" i="2" l="1"/>
  <c r="AV13" i="2"/>
  <c r="AT13" i="2"/>
  <c r="AS13" i="2"/>
  <c r="AQ13" i="2"/>
  <c r="AR13" i="2"/>
  <c r="AA30" i="1"/>
  <c r="AB30" i="1"/>
  <c r="Y30" i="1"/>
  <c r="V30" i="1"/>
  <c r="X30" i="1"/>
  <c r="W30" i="1"/>
  <c r="U30" i="1"/>
  <c r="AA44" i="1"/>
  <c r="AB44" i="1"/>
  <c r="U44" i="1"/>
  <c r="Q34" i="1"/>
  <c r="Z34" i="1" s="1"/>
  <c r="P34" i="1"/>
  <c r="N34" i="1"/>
  <c r="O34" i="1"/>
  <c r="Q8" i="1"/>
  <c r="Z8" i="1" s="1"/>
  <c r="Z23" i="1" s="1"/>
  <c r="M23" i="1"/>
  <c r="AA32" i="1"/>
  <c r="AB32" i="1"/>
  <c r="W32" i="1"/>
  <c r="Y32" i="1"/>
  <c r="U32" i="1"/>
  <c r="X32" i="1"/>
  <c r="V32" i="1"/>
  <c r="AA31" i="1"/>
  <c r="AB31" i="1"/>
  <c r="Y31" i="1"/>
  <c r="U31" i="1"/>
  <c r="X31" i="1"/>
  <c r="V31" i="1"/>
  <c r="W31" i="1"/>
  <c r="AA48" i="1"/>
  <c r="Y48" i="1"/>
  <c r="W48" i="1"/>
  <c r="X48" i="1"/>
  <c r="V48" i="1"/>
  <c r="U48" i="1"/>
  <c r="AA41" i="1"/>
  <c r="AB41" i="1"/>
  <c r="X41" i="1"/>
  <c r="W41" i="1"/>
  <c r="U41" i="1"/>
  <c r="Y41" i="1"/>
  <c r="V41" i="1"/>
  <c r="AA46" i="1"/>
  <c r="AB46" i="1"/>
  <c r="AA47" i="1"/>
  <c r="AB47" i="1"/>
  <c r="Q11" i="1"/>
  <c r="Z11" i="1" s="1"/>
  <c r="Z26" i="1" s="1"/>
  <c r="M26" i="1"/>
  <c r="Q7" i="1"/>
  <c r="Z7" i="1" s="1"/>
  <c r="Z22" i="1" s="1"/>
  <c r="M22" i="1"/>
  <c r="Q10" i="1"/>
  <c r="M25" i="1"/>
  <c r="Q12" i="1"/>
  <c r="M27" i="1"/>
  <c r="Q9" i="1"/>
  <c r="M24" i="1"/>
  <c r="Q35" i="1"/>
  <c r="Z35" i="1" s="1"/>
  <c r="P35" i="1"/>
  <c r="O35" i="1"/>
  <c r="N35" i="1"/>
  <c r="X47" i="1"/>
  <c r="W47" i="1"/>
  <c r="Y47" i="1"/>
  <c r="U47" i="1"/>
  <c r="V47" i="1"/>
  <c r="Y46" i="1"/>
  <c r="W46" i="1"/>
  <c r="U46" i="1"/>
  <c r="V46" i="1"/>
  <c r="X46" i="1"/>
  <c r="L42" i="1"/>
  <c r="Q40" i="1"/>
  <c r="Z40" i="1" s="1"/>
  <c r="M42" i="1"/>
  <c r="Q6" i="1"/>
  <c r="Z6" i="1" s="1"/>
  <c r="T46" i="1"/>
  <c r="R46" i="1"/>
  <c r="S46" i="1"/>
  <c r="S47" i="1"/>
  <c r="R47" i="1"/>
  <c r="T47" i="1"/>
  <c r="T44" i="1"/>
  <c r="R44" i="1"/>
  <c r="S44" i="1"/>
  <c r="R48" i="1"/>
  <c r="S48" i="1"/>
  <c r="T48" i="1"/>
  <c r="T12" i="1"/>
  <c r="T27" i="1" s="1"/>
  <c r="P30" i="1"/>
  <c r="P44" i="1"/>
  <c r="O44" i="1"/>
  <c r="T10" i="1"/>
  <c r="T25" i="1" s="1"/>
  <c r="O6" i="1"/>
  <c r="P6" i="1"/>
  <c r="N6" i="1"/>
  <c r="R9" i="1"/>
  <c r="R24" i="1" s="1"/>
  <c r="P32" i="1"/>
  <c r="P31" i="1"/>
  <c r="M17" i="1"/>
  <c r="Q17" i="1" s="1"/>
  <c r="L17" i="1"/>
  <c r="O46" i="1"/>
  <c r="N46" i="1"/>
  <c r="P46" i="1"/>
  <c r="P47" i="1"/>
  <c r="N47" i="1"/>
  <c r="O47" i="1"/>
  <c r="M15" i="1"/>
  <c r="Q15" i="1" s="1"/>
  <c r="L15" i="1"/>
  <c r="M18" i="1"/>
  <c r="Q18" i="1" s="1"/>
  <c r="L18" i="1"/>
  <c r="P11" i="1"/>
  <c r="P26" i="1" s="1"/>
  <c r="N11" i="1"/>
  <c r="N26" i="1" s="1"/>
  <c r="O11" i="1"/>
  <c r="O26" i="1" s="1"/>
  <c r="P7" i="1"/>
  <c r="P22" i="1" s="1"/>
  <c r="N7" i="1"/>
  <c r="N22" i="1" s="1"/>
  <c r="O7" i="1"/>
  <c r="O22" i="1" s="1"/>
  <c r="O8" i="1"/>
  <c r="O23" i="1" s="1"/>
  <c r="P8" i="1"/>
  <c r="P23" i="1" s="1"/>
  <c r="N8" i="1"/>
  <c r="N23" i="1" s="1"/>
  <c r="M19" i="1"/>
  <c r="Q19" i="1" s="1"/>
  <c r="L19" i="1"/>
  <c r="M16" i="1"/>
  <c r="Q16" i="1" s="1"/>
  <c r="L16" i="1"/>
  <c r="O32" i="1"/>
  <c r="N32" i="1"/>
  <c r="P40" i="1"/>
  <c r="N40" i="1"/>
  <c r="O40" i="1"/>
  <c r="O31" i="1"/>
  <c r="N31" i="1"/>
  <c r="P48" i="1"/>
  <c r="N48" i="1"/>
  <c r="O48" i="1"/>
  <c r="O41" i="1"/>
  <c r="P41" i="1"/>
  <c r="N41" i="1"/>
  <c r="N30" i="1"/>
  <c r="O30" i="1"/>
  <c r="N44" i="1"/>
  <c r="M20" i="1"/>
  <c r="Q20" i="1" s="1"/>
  <c r="L20" i="1"/>
  <c r="P10" i="1"/>
  <c r="P25" i="1" s="1"/>
  <c r="O10" i="1"/>
  <c r="O25" i="1" s="1"/>
  <c r="N10" i="1"/>
  <c r="N25" i="1" s="1"/>
  <c r="P12" i="1"/>
  <c r="P27" i="1" s="1"/>
  <c r="N12" i="1"/>
  <c r="N27" i="1" s="1"/>
  <c r="O12" i="1"/>
  <c r="O27" i="1" s="1"/>
  <c r="O9" i="1"/>
  <c r="O24" i="1" s="1"/>
  <c r="P9" i="1"/>
  <c r="P24" i="1" s="1"/>
  <c r="N9" i="1"/>
  <c r="N24" i="1" s="1"/>
  <c r="AO41" i="1" l="1"/>
  <c r="AO32" i="1"/>
  <c r="AP32" i="1"/>
  <c r="AO30" i="1"/>
  <c r="AP30" i="1"/>
  <c r="AP47" i="1"/>
  <c r="AP46" i="1"/>
  <c r="AO31" i="1"/>
  <c r="AP31" i="1"/>
  <c r="AM47" i="1"/>
  <c r="AL47" i="1"/>
  <c r="AM41" i="1"/>
  <c r="AL41" i="1"/>
  <c r="AK41" i="1"/>
  <c r="AI41" i="1"/>
  <c r="AJ41" i="1"/>
  <c r="AL32" i="1"/>
  <c r="AM32" i="1"/>
  <c r="AM30" i="1"/>
  <c r="AL30" i="1"/>
  <c r="AM46" i="1"/>
  <c r="AL46" i="1"/>
  <c r="AL31" i="1"/>
  <c r="AM31" i="1"/>
  <c r="AJ47" i="1"/>
  <c r="AI47" i="1"/>
  <c r="AK32" i="1"/>
  <c r="AI32" i="1"/>
  <c r="AJ32" i="1"/>
  <c r="AK30" i="1"/>
  <c r="AI30" i="1"/>
  <c r="AJ30" i="1"/>
  <c r="AJ46" i="1"/>
  <c r="AI46" i="1"/>
  <c r="AK31" i="1"/>
  <c r="AJ31" i="1"/>
  <c r="AI31" i="1"/>
  <c r="AA16" i="1"/>
  <c r="Z16" i="1"/>
  <c r="S12" i="1"/>
  <c r="S27" i="1" s="1"/>
  <c r="Z12" i="1"/>
  <c r="Z27" i="1" s="1"/>
  <c r="AA20" i="1"/>
  <c r="Z20" i="1"/>
  <c r="AA19" i="1"/>
  <c r="Z19" i="1"/>
  <c r="S9" i="1"/>
  <c r="S24" i="1" s="1"/>
  <c r="Z9" i="1"/>
  <c r="Z24" i="1" s="1"/>
  <c r="R10" i="1"/>
  <c r="R25" i="1" s="1"/>
  <c r="Z10" i="1"/>
  <c r="Z25" i="1" s="1"/>
  <c r="AA15" i="1"/>
  <c r="Z15" i="1"/>
  <c r="AA17" i="1"/>
  <c r="Z17" i="1"/>
  <c r="AA18" i="1"/>
  <c r="Z18" i="1"/>
  <c r="T9" i="1"/>
  <c r="T24" i="1" s="1"/>
  <c r="S10" i="1"/>
  <c r="S25" i="1" s="1"/>
  <c r="AH48" i="1"/>
  <c r="AC48" i="1"/>
  <c r="AF48" i="1"/>
  <c r="AG48" i="1"/>
  <c r="AD48" i="1"/>
  <c r="AE48" i="1"/>
  <c r="AH31" i="1"/>
  <c r="AF31" i="1"/>
  <c r="AG31" i="1"/>
  <c r="AC31" i="1"/>
  <c r="AD31" i="1"/>
  <c r="AE31" i="1"/>
  <c r="AH32" i="1"/>
  <c r="AG32" i="1"/>
  <c r="AF32" i="1"/>
  <c r="AE32" i="1"/>
  <c r="AD32" i="1"/>
  <c r="AC32" i="1"/>
  <c r="AA35" i="1"/>
  <c r="AB35" i="1"/>
  <c r="U35" i="1"/>
  <c r="W35" i="1"/>
  <c r="S35" i="1"/>
  <c r="Y35" i="1"/>
  <c r="T35" i="1"/>
  <c r="X35" i="1"/>
  <c r="V35" i="1"/>
  <c r="R35" i="1"/>
  <c r="T7" i="1"/>
  <c r="T22" i="1" s="1"/>
  <c r="AA7" i="1"/>
  <c r="AA22" i="1" s="1"/>
  <c r="AB7" i="1"/>
  <c r="Q22" i="1"/>
  <c r="X7" i="1"/>
  <c r="X22" i="1" s="1"/>
  <c r="V7" i="1"/>
  <c r="V22" i="1" s="1"/>
  <c r="Y7" i="1"/>
  <c r="Y22" i="1" s="1"/>
  <c r="W7" i="1"/>
  <c r="W22" i="1" s="1"/>
  <c r="U7" i="1"/>
  <c r="U22" i="1" s="1"/>
  <c r="Q42" i="1"/>
  <c r="Z42" i="1" s="1"/>
  <c r="AA40" i="1"/>
  <c r="AB40" i="1"/>
  <c r="V40" i="1"/>
  <c r="U40" i="1"/>
  <c r="Y40" i="1"/>
  <c r="W40" i="1"/>
  <c r="W42" i="1" s="1"/>
  <c r="X40" i="1"/>
  <c r="AH44" i="1"/>
  <c r="AE44" i="1"/>
  <c r="AD44" i="1"/>
  <c r="AC44" i="1"/>
  <c r="AH30" i="1"/>
  <c r="AF30" i="1"/>
  <c r="AG30" i="1"/>
  <c r="AD30" i="1"/>
  <c r="AC30" i="1"/>
  <c r="AE30" i="1"/>
  <c r="S6" i="1"/>
  <c r="AA6" i="1"/>
  <c r="AB6" i="1"/>
  <c r="W6" i="1"/>
  <c r="U6" i="1"/>
  <c r="Y6" i="1"/>
  <c r="V6" i="1"/>
  <c r="X6" i="1"/>
  <c r="AH46" i="1"/>
  <c r="AD46" i="1"/>
  <c r="AG46" i="1"/>
  <c r="AF46" i="1"/>
  <c r="AC46" i="1"/>
  <c r="AH41" i="1"/>
  <c r="AG41" i="1"/>
  <c r="AF41" i="1"/>
  <c r="AE41" i="1"/>
  <c r="AD41" i="1"/>
  <c r="AC41" i="1"/>
  <c r="AA12" i="1"/>
  <c r="AA27" i="1" s="1"/>
  <c r="AB12" i="1"/>
  <c r="Q27" i="1"/>
  <c r="U12" i="1"/>
  <c r="U27" i="1" s="1"/>
  <c r="X12" i="1"/>
  <c r="X27" i="1" s="1"/>
  <c r="V12" i="1"/>
  <c r="V27" i="1" s="1"/>
  <c r="Y12" i="1"/>
  <c r="Y27" i="1" s="1"/>
  <c r="W12" i="1"/>
  <c r="W27" i="1" s="1"/>
  <c r="AH47" i="1"/>
  <c r="AF47" i="1"/>
  <c r="AD47" i="1"/>
  <c r="AC47" i="1"/>
  <c r="AG47" i="1"/>
  <c r="R12" i="1"/>
  <c r="R27" i="1" s="1"/>
  <c r="AA9" i="1"/>
  <c r="AA24" i="1" s="1"/>
  <c r="AB9" i="1"/>
  <c r="Q24" i="1"/>
  <c r="Y9" i="1"/>
  <c r="Y24" i="1" s="1"/>
  <c r="W9" i="1"/>
  <c r="W24" i="1" s="1"/>
  <c r="U9" i="1"/>
  <c r="U24" i="1" s="1"/>
  <c r="X9" i="1"/>
  <c r="X24" i="1" s="1"/>
  <c r="V9" i="1"/>
  <c r="V24" i="1" s="1"/>
  <c r="AA10" i="1"/>
  <c r="AA25" i="1" s="1"/>
  <c r="AB10" i="1"/>
  <c r="Q25" i="1"/>
  <c r="Y10" i="1"/>
  <c r="Y25" i="1" s="1"/>
  <c r="W10" i="1"/>
  <c r="W25" i="1" s="1"/>
  <c r="U10" i="1"/>
  <c r="U25" i="1" s="1"/>
  <c r="X10" i="1"/>
  <c r="X25" i="1" s="1"/>
  <c r="V10" i="1"/>
  <c r="V25" i="1" s="1"/>
  <c r="AA11" i="1"/>
  <c r="AA26" i="1" s="1"/>
  <c r="AB11" i="1"/>
  <c r="Q26" i="1"/>
  <c r="X11" i="1"/>
  <c r="X26" i="1" s="1"/>
  <c r="V11" i="1"/>
  <c r="V26" i="1" s="1"/>
  <c r="Y11" i="1"/>
  <c r="Y26" i="1" s="1"/>
  <c r="W11" i="1"/>
  <c r="W26" i="1" s="1"/>
  <c r="U11" i="1"/>
  <c r="U26" i="1" s="1"/>
  <c r="AA8" i="1"/>
  <c r="AA23" i="1" s="1"/>
  <c r="AB8" i="1"/>
  <c r="Q23" i="1"/>
  <c r="U8" i="1"/>
  <c r="U23" i="1" s="1"/>
  <c r="X8" i="1"/>
  <c r="X23" i="1" s="1"/>
  <c r="V8" i="1"/>
  <c r="V23" i="1" s="1"/>
  <c r="Y8" i="1"/>
  <c r="Y23" i="1" s="1"/>
  <c r="W8" i="1"/>
  <c r="W23" i="1" s="1"/>
  <c r="AA34" i="1"/>
  <c r="AB34" i="1"/>
  <c r="U34" i="1"/>
  <c r="V34" i="1"/>
  <c r="W34" i="1"/>
  <c r="Y34" i="1"/>
  <c r="X34" i="1"/>
  <c r="T34" i="1"/>
  <c r="S34" i="1"/>
  <c r="R34" i="1"/>
  <c r="AB16" i="1"/>
  <c r="X16" i="1"/>
  <c r="Y16" i="1"/>
  <c r="W16" i="1"/>
  <c r="V16" i="1"/>
  <c r="U16" i="1"/>
  <c r="AB15" i="1"/>
  <c r="X15" i="1"/>
  <c r="U15" i="1"/>
  <c r="W15" i="1"/>
  <c r="V15" i="1"/>
  <c r="Y15" i="1"/>
  <c r="AB18" i="1"/>
  <c r="X18" i="1"/>
  <c r="Y18" i="1"/>
  <c r="W18" i="1"/>
  <c r="V18" i="1"/>
  <c r="U18" i="1"/>
  <c r="AB17" i="1"/>
  <c r="U17" i="1"/>
  <c r="Y17" i="1"/>
  <c r="W17" i="1"/>
  <c r="V17" i="1"/>
  <c r="X17" i="1"/>
  <c r="AB20" i="1"/>
  <c r="Y20" i="1"/>
  <c r="W20" i="1"/>
  <c r="V20" i="1"/>
  <c r="X20" i="1"/>
  <c r="U20" i="1"/>
  <c r="AB19" i="1"/>
  <c r="Y19" i="1"/>
  <c r="W19" i="1"/>
  <c r="V19" i="1"/>
  <c r="X19" i="1"/>
  <c r="U19" i="1"/>
  <c r="P42" i="1"/>
  <c r="O42" i="1"/>
  <c r="N42" i="1"/>
  <c r="R6" i="1"/>
  <c r="S19" i="1"/>
  <c r="T19" i="1"/>
  <c r="R19" i="1"/>
  <c r="S40" i="1"/>
  <c r="T40" i="1"/>
  <c r="R40" i="1"/>
  <c r="T11" i="1"/>
  <c r="T26" i="1" s="1"/>
  <c r="R11" i="1"/>
  <c r="R26" i="1" s="1"/>
  <c r="S11" i="1"/>
  <c r="S26" i="1" s="1"/>
  <c r="R41" i="1"/>
  <c r="S41" i="1"/>
  <c r="T41" i="1"/>
  <c r="S31" i="1"/>
  <c r="T31" i="1"/>
  <c r="R31" i="1"/>
  <c r="R7" i="1"/>
  <c r="R22" i="1" s="1"/>
  <c r="S7" i="1"/>
  <c r="S22" i="1" s="1"/>
  <c r="T15" i="1"/>
  <c r="R15" i="1"/>
  <c r="S15" i="1"/>
  <c r="S32" i="1"/>
  <c r="R32" i="1"/>
  <c r="T32" i="1"/>
  <c r="R8" i="1"/>
  <c r="R23" i="1" s="1"/>
  <c r="S8" i="1"/>
  <c r="S23" i="1" s="1"/>
  <c r="T8" i="1"/>
  <c r="T23" i="1" s="1"/>
  <c r="T6" i="1"/>
  <c r="R30" i="1"/>
  <c r="T30" i="1"/>
  <c r="S30" i="1"/>
  <c r="P20" i="1"/>
  <c r="N20" i="1"/>
  <c r="O20" i="1"/>
  <c r="P16" i="1"/>
  <c r="N16" i="1"/>
  <c r="O16" i="1"/>
  <c r="N15" i="1"/>
  <c r="O15" i="1"/>
  <c r="P15" i="1"/>
  <c r="O19" i="1"/>
  <c r="P19" i="1"/>
  <c r="N19" i="1"/>
  <c r="O18" i="1"/>
  <c r="P18" i="1"/>
  <c r="N18" i="1"/>
  <c r="P17" i="1"/>
  <c r="N17" i="1"/>
  <c r="O17" i="1"/>
  <c r="AP12" i="1" l="1"/>
  <c r="AO35" i="1"/>
  <c r="AP35" i="1"/>
  <c r="AO18" i="1"/>
  <c r="AP18" i="1"/>
  <c r="AO16" i="1"/>
  <c r="AP16" i="1"/>
  <c r="AP7" i="1"/>
  <c r="AO34" i="1"/>
  <c r="AP34" i="1"/>
  <c r="AP8" i="1"/>
  <c r="AP11" i="1"/>
  <c r="AP10" i="1"/>
  <c r="AP9" i="1"/>
  <c r="AO6" i="1"/>
  <c r="AP6" i="1"/>
  <c r="AO40" i="1"/>
  <c r="AO20" i="1"/>
  <c r="AP20" i="1"/>
  <c r="AO19" i="1"/>
  <c r="AP19" i="1"/>
  <c r="AO17" i="1"/>
  <c r="AP17" i="1"/>
  <c r="AO15" i="1"/>
  <c r="AP15" i="1"/>
  <c r="AM8" i="1"/>
  <c r="AL8" i="1"/>
  <c r="AM9" i="1"/>
  <c r="AL9" i="1"/>
  <c r="AM6" i="1"/>
  <c r="AL6" i="1"/>
  <c r="AM19" i="1"/>
  <c r="AL19" i="1"/>
  <c r="AM17" i="1"/>
  <c r="AL17" i="1"/>
  <c r="AM15" i="1"/>
  <c r="AL15" i="1"/>
  <c r="AM12" i="1"/>
  <c r="AL12" i="1"/>
  <c r="AL40" i="1"/>
  <c r="AM40" i="1"/>
  <c r="AK40" i="1"/>
  <c r="AJ40" i="1"/>
  <c r="AI40" i="1"/>
  <c r="AM35" i="1"/>
  <c r="AL35" i="1"/>
  <c r="AM34" i="1"/>
  <c r="AL34" i="1"/>
  <c r="AM11" i="1"/>
  <c r="AL11" i="1"/>
  <c r="AM10" i="1"/>
  <c r="AL10" i="1"/>
  <c r="T42" i="1"/>
  <c r="AM20" i="1"/>
  <c r="AL20" i="1"/>
  <c r="AM18" i="1"/>
  <c r="AL18" i="1"/>
  <c r="AL16" i="1"/>
  <c r="AM16" i="1"/>
  <c r="AM7" i="1"/>
  <c r="AL7" i="1"/>
  <c r="AK35" i="1"/>
  <c r="AI35" i="1"/>
  <c r="AJ35" i="1"/>
  <c r="AK20" i="1"/>
  <c r="AI20" i="1"/>
  <c r="AJ20" i="1"/>
  <c r="AK18" i="1"/>
  <c r="AI18" i="1"/>
  <c r="AJ18" i="1"/>
  <c r="AK16" i="1"/>
  <c r="AI16" i="1"/>
  <c r="AJ16" i="1"/>
  <c r="AK7" i="1"/>
  <c r="AJ7" i="1"/>
  <c r="AI7" i="1"/>
  <c r="AK34" i="1"/>
  <c r="AI34" i="1"/>
  <c r="AJ34" i="1"/>
  <c r="AK8" i="1"/>
  <c r="AJ8" i="1"/>
  <c r="AI8" i="1"/>
  <c r="AK11" i="1"/>
  <c r="AI11" i="1"/>
  <c r="AJ11" i="1"/>
  <c r="AK10" i="1"/>
  <c r="AI10" i="1"/>
  <c r="AJ10" i="1"/>
  <c r="AK9" i="1"/>
  <c r="AI9" i="1"/>
  <c r="AJ9" i="1"/>
  <c r="AK6" i="1"/>
  <c r="AI6" i="1"/>
  <c r="AJ6" i="1"/>
  <c r="AK12" i="1"/>
  <c r="AJ12" i="1"/>
  <c r="AI12" i="1"/>
  <c r="AK19" i="1"/>
  <c r="AJ19" i="1"/>
  <c r="AI19" i="1"/>
  <c r="AK17" i="1"/>
  <c r="AI17" i="1"/>
  <c r="AJ17" i="1"/>
  <c r="AK15" i="1"/>
  <c r="AI15" i="1"/>
  <c r="AJ15" i="1"/>
  <c r="AH17" i="1"/>
  <c r="AG17" i="1"/>
  <c r="AF17" i="1"/>
  <c r="AE17" i="1"/>
  <c r="AC17" i="1"/>
  <c r="AD17" i="1"/>
  <c r="AH8" i="1"/>
  <c r="AG8" i="1"/>
  <c r="AF8" i="1"/>
  <c r="AC8" i="1"/>
  <c r="AE8" i="1"/>
  <c r="AD8" i="1"/>
  <c r="AB23" i="1"/>
  <c r="AH12" i="1"/>
  <c r="AG12" i="1"/>
  <c r="AF12" i="1"/>
  <c r="AD12" i="1"/>
  <c r="AC12" i="1"/>
  <c r="AE12" i="1"/>
  <c r="AB27" i="1"/>
  <c r="AA42" i="1"/>
  <c r="AB42" i="1"/>
  <c r="V42" i="1"/>
  <c r="X42" i="1"/>
  <c r="U42" i="1"/>
  <c r="Y42" i="1"/>
  <c r="AH7" i="1"/>
  <c r="AF7" i="1"/>
  <c r="AG7" i="1"/>
  <c r="AE7" i="1"/>
  <c r="AC7" i="1"/>
  <c r="AD7" i="1"/>
  <c r="AB22" i="1"/>
  <c r="AH35" i="1"/>
  <c r="AF35" i="1"/>
  <c r="AG35" i="1"/>
  <c r="AD35" i="1"/>
  <c r="AC35" i="1"/>
  <c r="AE35" i="1"/>
  <c r="AH34" i="1"/>
  <c r="AF34" i="1"/>
  <c r="AG34" i="1"/>
  <c r="AD34" i="1"/>
  <c r="AE34" i="1"/>
  <c r="AC34" i="1"/>
  <c r="AH9" i="1"/>
  <c r="AF9" i="1"/>
  <c r="AG9" i="1"/>
  <c r="AD9" i="1"/>
  <c r="AC9" i="1"/>
  <c r="AE9" i="1"/>
  <c r="AB24" i="1"/>
  <c r="AH20" i="1"/>
  <c r="AG20" i="1"/>
  <c r="AF20" i="1"/>
  <c r="AC20" i="1"/>
  <c r="AD20" i="1"/>
  <c r="AE20" i="1"/>
  <c r="AH16" i="1"/>
  <c r="AF16" i="1"/>
  <c r="AG16" i="1"/>
  <c r="AC16" i="1"/>
  <c r="AE16" i="1"/>
  <c r="AD16" i="1"/>
  <c r="AH11" i="1"/>
  <c r="AF11" i="1"/>
  <c r="AG11" i="1"/>
  <c r="AE11" i="1"/>
  <c r="AD11" i="1"/>
  <c r="AC11" i="1"/>
  <c r="AB26" i="1"/>
  <c r="AH18" i="1"/>
  <c r="AF18" i="1"/>
  <c r="AG18" i="1"/>
  <c r="AD18" i="1"/>
  <c r="AE18" i="1"/>
  <c r="AC18" i="1"/>
  <c r="AH19" i="1"/>
  <c r="AG19" i="1"/>
  <c r="AF19" i="1"/>
  <c r="AD19" i="1"/>
  <c r="AC19" i="1"/>
  <c r="AE19" i="1"/>
  <c r="AH15" i="1"/>
  <c r="AG15" i="1"/>
  <c r="AF15" i="1"/>
  <c r="AD15" i="1"/>
  <c r="AC15" i="1"/>
  <c r="AE15" i="1"/>
  <c r="AH10" i="1"/>
  <c r="AG10" i="1"/>
  <c r="AF10" i="1"/>
  <c r="AD10" i="1"/>
  <c r="AC10" i="1"/>
  <c r="AE10" i="1"/>
  <c r="AB25" i="1"/>
  <c r="AH6" i="1"/>
  <c r="AG6" i="1"/>
  <c r="AF6" i="1"/>
  <c r="AE6" i="1"/>
  <c r="AD6" i="1"/>
  <c r="AC6" i="1"/>
  <c r="AH40" i="1"/>
  <c r="AF40" i="1"/>
  <c r="AG40" i="1"/>
  <c r="AC40" i="1"/>
  <c r="AD40" i="1"/>
  <c r="AE40" i="1"/>
  <c r="S42" i="1"/>
  <c r="R42" i="1"/>
  <c r="S18" i="1"/>
  <c r="R18" i="1"/>
  <c r="T18" i="1"/>
  <c r="T16" i="1"/>
  <c r="R16" i="1"/>
  <c r="S16" i="1"/>
  <c r="T20" i="1"/>
  <c r="R20" i="1"/>
  <c r="S20" i="1"/>
  <c r="S17" i="1"/>
  <c r="T17" i="1"/>
  <c r="R17" i="1"/>
  <c r="AO26" i="1" l="1"/>
  <c r="AP26" i="1"/>
  <c r="AO22" i="1"/>
  <c r="AP22" i="1"/>
  <c r="AO23" i="1"/>
  <c r="AP23" i="1"/>
  <c r="AO42" i="1"/>
  <c r="AO25" i="1"/>
  <c r="AP25" i="1"/>
  <c r="AO24" i="1"/>
  <c r="AP24" i="1"/>
  <c r="AO27" i="1"/>
  <c r="AP27" i="1"/>
  <c r="AM42" i="1"/>
  <c r="AL42" i="1"/>
  <c r="AK42" i="1"/>
  <c r="AI42" i="1"/>
  <c r="AJ42" i="1"/>
  <c r="AM22" i="1"/>
  <c r="AL22" i="1"/>
  <c r="AM23" i="1"/>
  <c r="AL23" i="1"/>
  <c r="AM26" i="1"/>
  <c r="AL26" i="1"/>
  <c r="AL25" i="1"/>
  <c r="AM25" i="1"/>
  <c r="AM24" i="1"/>
  <c r="AL24" i="1"/>
  <c r="AM27" i="1"/>
  <c r="AL27" i="1"/>
  <c r="AK25" i="1"/>
  <c r="AI25" i="1"/>
  <c r="AJ25" i="1"/>
  <c r="AK24" i="1"/>
  <c r="AJ24" i="1"/>
  <c r="AI24" i="1"/>
  <c r="AK27" i="1"/>
  <c r="AJ27" i="1"/>
  <c r="AI27" i="1"/>
  <c r="AK26" i="1"/>
  <c r="AI26" i="1"/>
  <c r="AJ26" i="1"/>
  <c r="AK22" i="1"/>
  <c r="AJ22" i="1"/>
  <c r="AI22" i="1"/>
  <c r="AK23" i="1"/>
  <c r="AJ23" i="1"/>
  <c r="AI23" i="1"/>
  <c r="AH24" i="1"/>
  <c r="AF24" i="1"/>
  <c r="AG24" i="1"/>
  <c r="AD24" i="1"/>
  <c r="AC24" i="1"/>
  <c r="AE24" i="1"/>
  <c r="AH25" i="1"/>
  <c r="AF25" i="1"/>
  <c r="AG25" i="1"/>
  <c r="AE25" i="1"/>
  <c r="AD25" i="1"/>
  <c r="AC25" i="1"/>
  <c r="AH27" i="1"/>
  <c r="AG27" i="1"/>
  <c r="AF27" i="1"/>
  <c r="AD27" i="1"/>
  <c r="AC27" i="1"/>
  <c r="AE27" i="1"/>
  <c r="AH23" i="1"/>
  <c r="AG23" i="1"/>
  <c r="AF23" i="1"/>
  <c r="AC23" i="1"/>
  <c r="AE23" i="1"/>
  <c r="AD23" i="1"/>
  <c r="AH26" i="1"/>
  <c r="AG26" i="1"/>
  <c r="AF26" i="1"/>
  <c r="AE26" i="1"/>
  <c r="AC26" i="1"/>
  <c r="AD26" i="1"/>
  <c r="AH22" i="1"/>
  <c r="AF22" i="1"/>
  <c r="AG22" i="1"/>
  <c r="AE22" i="1"/>
  <c r="AD22" i="1"/>
  <c r="AC22" i="1"/>
  <c r="AH42" i="1"/>
  <c r="AF42" i="1"/>
  <c r="AG42" i="1"/>
  <c r="AC42" i="1"/>
  <c r="AE42" i="1"/>
  <c r="AD42" i="1"/>
  <c r="AD18" i="4"/>
</calcChain>
</file>

<file path=xl/sharedStrings.xml><?xml version="1.0" encoding="utf-8"?>
<sst xmlns="http://schemas.openxmlformats.org/spreadsheetml/2006/main" count="590" uniqueCount="342">
  <si>
    <t>CATEGORIA</t>
  </si>
  <si>
    <t>ADICIONAL TURNO A</t>
  </si>
  <si>
    <t>SUBSIDIO VACACIONAL</t>
  </si>
  <si>
    <t>AYUDA ESCOLAR</t>
  </si>
  <si>
    <t>SUBSIDIO POR FALLECIMIENTO</t>
  </si>
  <si>
    <t>ESCALA SALARIAL  AXION PUERTO GALVAN</t>
  </si>
  <si>
    <t>DESCRIPCION</t>
  </si>
  <si>
    <t>TURNO</t>
  </si>
  <si>
    <t>BASICO Mar-2019</t>
  </si>
  <si>
    <t xml:space="preserve"> Abr-2019 15%</t>
  </si>
  <si>
    <t xml:space="preserve"> Jul-2019 10%</t>
  </si>
  <si>
    <t>D</t>
  </si>
  <si>
    <t>A</t>
  </si>
  <si>
    <t>B</t>
  </si>
  <si>
    <t xml:space="preserve">Antigüedad </t>
  </si>
  <si>
    <t>Subsidio Vacacional (Art 35 CCT)</t>
  </si>
  <si>
    <t>Ayuda Escolar</t>
  </si>
  <si>
    <t>Subsidio Por Fallecimiento (Art 33 CCT)</t>
  </si>
  <si>
    <t>Vianda</t>
  </si>
  <si>
    <t>CCT Marco Desmalezado</t>
  </si>
  <si>
    <t xml:space="preserve">32.680  </t>
  </si>
  <si>
    <t xml:space="preserve">35.353  </t>
  </si>
  <si>
    <t xml:space="preserve">36.601  </t>
  </si>
  <si>
    <t xml:space="preserve">39.275  </t>
  </si>
  <si>
    <t>Ayudante</t>
  </si>
  <si>
    <t xml:space="preserve">38.407  </t>
  </si>
  <si>
    <t xml:space="preserve">41.550  </t>
  </si>
  <si>
    <t xml:space="preserve">43.016  </t>
  </si>
  <si>
    <t xml:space="preserve">46.159  </t>
  </si>
  <si>
    <t xml:space="preserve">41.288  </t>
  </si>
  <si>
    <t xml:space="preserve">44.666  </t>
  </si>
  <si>
    <t xml:space="preserve">46.242  </t>
  </si>
  <si>
    <t xml:space="preserve">49.621  </t>
  </si>
  <si>
    <t>Medio Amb, Oficial</t>
  </si>
  <si>
    <t xml:space="preserve">44.384  </t>
  </si>
  <si>
    <t xml:space="preserve">48.016  </t>
  </si>
  <si>
    <t xml:space="preserve">49.711  </t>
  </si>
  <si>
    <t xml:space="preserve">53.342  </t>
  </si>
  <si>
    <t xml:space="preserve">47.713  </t>
  </si>
  <si>
    <t xml:space="preserve">51.617  </t>
  </si>
  <si>
    <t xml:space="preserve">53.439  </t>
  </si>
  <si>
    <t xml:space="preserve">57.343  </t>
  </si>
  <si>
    <t>Of. Especializ.</t>
  </si>
  <si>
    <t xml:space="preserve">51.292  </t>
  </si>
  <si>
    <t xml:space="preserve">55.488  </t>
  </si>
  <si>
    <t xml:space="preserve">57.447  </t>
  </si>
  <si>
    <t xml:space="preserve">61.643  </t>
  </si>
  <si>
    <t>Op. Campo</t>
  </si>
  <si>
    <t>Operador</t>
  </si>
  <si>
    <t xml:space="preserve">104.419  </t>
  </si>
  <si>
    <t xml:space="preserve">112.962  </t>
  </si>
  <si>
    <t xml:space="preserve">116.949  </t>
  </si>
  <si>
    <t xml:space="preserve">125.493  </t>
  </si>
  <si>
    <t xml:space="preserve">3.834  </t>
  </si>
  <si>
    <t xml:space="preserve">4.148  </t>
  </si>
  <si>
    <t xml:space="preserve">4.294  </t>
  </si>
  <si>
    <t xml:space="preserve">4.608  </t>
  </si>
  <si>
    <t xml:space="preserve">2.396  </t>
  </si>
  <si>
    <t xml:space="preserve">2.592  </t>
  </si>
  <si>
    <t xml:space="preserve">2.684  </t>
  </si>
  <si>
    <t xml:space="preserve">2.880  </t>
  </si>
  <si>
    <t>ADICIONAL ESCOLARIDAD</t>
  </si>
  <si>
    <t xml:space="preserve">1.648  </t>
  </si>
  <si>
    <t xml:space="preserve">1.783  </t>
  </si>
  <si>
    <t xml:space="preserve">1.846  </t>
  </si>
  <si>
    <t xml:space="preserve">1.981  </t>
  </si>
  <si>
    <t>VIANDA LOCAL</t>
  </si>
  <si>
    <t xml:space="preserve">204  </t>
  </si>
  <si>
    <t xml:space="preserve">220  </t>
  </si>
  <si>
    <t xml:space="preserve">282  </t>
  </si>
  <si>
    <t>VIANDA NACIONAL</t>
  </si>
  <si>
    <t xml:space="preserve">527  </t>
  </si>
  <si>
    <t xml:space="preserve">570  </t>
  </si>
  <si>
    <t xml:space="preserve">591  </t>
  </si>
  <si>
    <t xml:space="preserve">634  </t>
  </si>
  <si>
    <t>ABRIL 2021 30%</t>
  </si>
  <si>
    <t>Paritarias 2022/23</t>
  </si>
  <si>
    <t>Antigüedad por año</t>
  </si>
  <si>
    <t>DISPONIBILIDAD 22,5%</t>
  </si>
  <si>
    <t>Cálculo de antigüedad:</t>
  </si>
  <si>
    <t>Antigüedad por año D</t>
  </si>
  <si>
    <t>41BIS</t>
  </si>
  <si>
    <t>Año</t>
  </si>
  <si>
    <t>Mes</t>
  </si>
  <si>
    <t>Base Inicio</t>
  </si>
  <si>
    <t>Utilizamos abril, como base de cálculo para la paritaria 2022. Por ese motivo es que ya figura actualizado, aunque en la realidad se pagó de otra manera.</t>
  </si>
  <si>
    <t>Total 2021</t>
  </si>
  <si>
    <t>De la misma manera el mes de mayo 2022 (ya con un 22,82% de incremento) se verá actualizado con un 10% más que en el recibo de sueldo. Ya que en el recibo de sueldo ese 10% viene como suma no remunerativa y se verá reflejado en los básicos, recién en el salario del mes de Julio 2022.</t>
  </si>
  <si>
    <t xml:space="preserve">En esta planilla el salario del mes de abril 2022 se encuentra actualizado con el 22,82%, que en realidad fue cobrado como suma no remunerativa en el mes de mayo2022. </t>
  </si>
  <si>
    <t>Refineria S.A.U. Bahia Blanca</t>
  </si>
  <si>
    <t>Paritarias 2022/2023</t>
  </si>
  <si>
    <t>Mayo 2022 (10%)</t>
  </si>
  <si>
    <t>septiembre 2022 10% (30%A)</t>
  </si>
  <si>
    <t>Paritaria 2022/2023</t>
  </si>
  <si>
    <t>Mayo 2022 10%</t>
  </si>
  <si>
    <t>Diciembre 2021 15%</t>
  </si>
  <si>
    <t>Abril 2020 30%</t>
  </si>
  <si>
    <t>Paritaria 2020/2021 (45%)</t>
  </si>
  <si>
    <t xml:space="preserve">               Paritaria 2021/2022 (57,8%)</t>
  </si>
  <si>
    <t>Paritarias 2019/2020 (45,7%)</t>
  </si>
  <si>
    <t>Paritarias 2021/2022 (57,82%)</t>
  </si>
  <si>
    <t>Paritarias 2018/2019 (55%)</t>
  </si>
  <si>
    <t>Juio 2019 (10%)</t>
  </si>
  <si>
    <t>Octube 2019 9% (19%A)</t>
  </si>
  <si>
    <t>Abril 2021 30%</t>
  </si>
  <si>
    <t>Paritarias 2020/2021 (45%)</t>
  </si>
  <si>
    <t>Paritarias 2021/2022 (57,8%)</t>
  </si>
  <si>
    <t>Nov 2019 4,2% (23,2%A)</t>
  </si>
  <si>
    <t>Mar 2020 9% (32%A)</t>
  </si>
  <si>
    <t>Sep 2020 13,5% (45,7%A)</t>
  </si>
  <si>
    <t>Junio 2021 15%(45%A)</t>
  </si>
  <si>
    <t>Enero 2022 10% (25%A)</t>
  </si>
  <si>
    <t>Marzo 2022 10% (35%A)</t>
  </si>
  <si>
    <t>Julio 2022 10%(20%A)</t>
  </si>
  <si>
    <t>sept 2022 10%(30%A)</t>
  </si>
  <si>
    <t>Junio 2021 15% (45%A)</t>
  </si>
  <si>
    <t>Oct-2019 9% (19%A)</t>
  </si>
  <si>
    <t>Nov-2019 4,2% (23,2%A)</t>
  </si>
  <si>
    <t xml:space="preserve"> Mar-2020 9%(32,2%A)</t>
  </si>
  <si>
    <t>SEP-2020 13,5% (45,7%A)</t>
  </si>
  <si>
    <t>Marzo2022 10%(35%A)</t>
  </si>
  <si>
    <t>Abril 2022  22,82% (57,82%A)</t>
  </si>
  <si>
    <t>Julio 2022 10% (20%A)</t>
  </si>
  <si>
    <t>Sep 2022 10% (30%A)</t>
  </si>
  <si>
    <t>Abril 22,82% (57,82%A)</t>
  </si>
  <si>
    <t>Septiembre 2020 13,5% (45,7%A)</t>
  </si>
  <si>
    <t>Axion</t>
  </si>
  <si>
    <t xml:space="preserve"> Axion</t>
  </si>
  <si>
    <t>OTE</t>
  </si>
  <si>
    <t xml:space="preserve">Julio- 19 10% </t>
  </si>
  <si>
    <t>Octubre19 9% (19%A)</t>
  </si>
  <si>
    <t>Noviembre2019 4,2% (23,2%A)</t>
  </si>
  <si>
    <t>Marzo2020        9% (32,2%A)</t>
  </si>
  <si>
    <t>ADICIONAL TURNO B</t>
  </si>
  <si>
    <t>BÁSICO 7</t>
  </si>
  <si>
    <t>BÁSICO 8</t>
  </si>
  <si>
    <t>BÁSICO 9</t>
  </si>
  <si>
    <t>BÁSICO 10</t>
  </si>
  <si>
    <t>BÁSICO 11</t>
  </si>
  <si>
    <t>BÁSICO 12</t>
  </si>
  <si>
    <t>BÁSICO 13</t>
  </si>
  <si>
    <t>Abril 2022. 22,82% (57,82%A)</t>
  </si>
  <si>
    <t xml:space="preserve"> 8 Y 9 (10 Y 11 LABORATORIO)</t>
  </si>
  <si>
    <t>10 (12 LABORATORIO)</t>
  </si>
  <si>
    <t xml:space="preserve"> 7,8,9,Y 10</t>
  </si>
  <si>
    <t>GUARDIAS PROCESO</t>
  </si>
  <si>
    <t>Vianda / Ayuda Alimentaria, POR DIA TRABAJADO (art. 37 bis CCT)</t>
  </si>
  <si>
    <r>
      <t xml:space="preserve">12 e </t>
    </r>
    <r>
      <rPr>
        <b/>
        <sz val="9"/>
        <color theme="1"/>
        <rFont val="Calibri"/>
        <family val="2"/>
        <scheme val="minor"/>
      </rPr>
      <t>(INSTRUMENTISTA PROCESO)</t>
    </r>
  </si>
  <si>
    <t>TOTAL ANTIGÜEDAD POR AÑO</t>
  </si>
  <si>
    <t>La vianda , para el personal que realiza turno B, o Diurno, serà calculada con un promedio mensual de 22 dìas</t>
  </si>
  <si>
    <t>La vianda, para el personal que realiza turno A, serà calculada con un promedio mensual de 19 dìas</t>
  </si>
  <si>
    <t>Adicional Antigüedad 28%</t>
  </si>
  <si>
    <t>Para el turnista :( BÁSICO DE LA CATEGORIA QUE REVISTE +(  35%))*1/100</t>
  </si>
  <si>
    <t>Para él diurno con disponibilidad: (BÁSICO DE LA CATEGORIA QUE REVISTE +(22,5%))*1/100</t>
  </si>
  <si>
    <t>Categoria</t>
  </si>
  <si>
    <t>Turno</t>
  </si>
  <si>
    <t>Bàsicos Marzo 2022</t>
  </si>
  <si>
    <t>Bàsicos Mayo 2022</t>
  </si>
  <si>
    <t>Bàsicos Julio 2022</t>
  </si>
  <si>
    <t>Bàsicos Septiembre 2022</t>
  </si>
  <si>
    <t>10%+10% (20%A)</t>
  </si>
  <si>
    <t>10% (30%A)</t>
  </si>
  <si>
    <t>Ayuda Escolar (Art 36 CCT)</t>
  </si>
  <si>
    <t>Subsidio por fallecimiento (Art 33 CCT)</t>
  </si>
  <si>
    <t>Vianda/ayuda (por dia)</t>
  </si>
  <si>
    <t>13 , 12 Y (10 REELEVO PANEL )</t>
  </si>
  <si>
    <t>Convenio Marco Refinerias 2021/2022</t>
  </si>
  <si>
    <t>Convenio Marco Refinerias 2022/2023</t>
  </si>
  <si>
    <t>Turno" A" es la resultante del 35% del salario Bàsico que reviste el trabajador + el Bàsico</t>
  </si>
  <si>
    <t>Turno "B" es la resultante del 24% del salario Bàsico que reviste el trabajador + el bàsico</t>
  </si>
  <si>
    <t>Enero2022 10% (25%A)</t>
  </si>
  <si>
    <t>Categorias Diurnas</t>
  </si>
  <si>
    <t>Básico</t>
  </si>
  <si>
    <t>Disponibilidad</t>
  </si>
  <si>
    <t xml:space="preserve"> Ensayador, 1/2 Oficial</t>
  </si>
  <si>
    <t xml:space="preserve"> Oficial Sr.</t>
  </si>
  <si>
    <t>Sector Maritimo</t>
  </si>
  <si>
    <t>Operador Carga Semi Sr.</t>
  </si>
  <si>
    <t>Operador Carga Sr.</t>
  </si>
  <si>
    <t>Categorias Operaciones</t>
  </si>
  <si>
    <t>Sondeador</t>
  </si>
  <si>
    <t xml:space="preserve">41288  </t>
  </si>
  <si>
    <t>Túrno A</t>
  </si>
  <si>
    <t>Maquinista, .</t>
  </si>
  <si>
    <t xml:space="preserve">47713  </t>
  </si>
  <si>
    <t xml:space="preserve">55139  </t>
  </si>
  <si>
    <t xml:space="preserve">59651  </t>
  </si>
  <si>
    <t xml:space="preserve">61756  </t>
  </si>
  <si>
    <t xml:space="preserve">66267  </t>
  </si>
  <si>
    <t xml:space="preserve">63720  </t>
  </si>
  <si>
    <t xml:space="preserve">68933  </t>
  </si>
  <si>
    <t xml:space="preserve">71366  </t>
  </si>
  <si>
    <t xml:space="preserve">76579  </t>
  </si>
  <si>
    <t xml:space="preserve">Mantenimiento </t>
  </si>
  <si>
    <t>Bàsico</t>
  </si>
  <si>
    <t>Disponibilidad 13%</t>
  </si>
  <si>
    <t>Instr. y Elec.</t>
  </si>
  <si>
    <t>Disponibilidad 16%</t>
  </si>
  <si>
    <t>Disponibilidad 18%</t>
  </si>
  <si>
    <t xml:space="preserve">Coor. Despacho </t>
  </si>
  <si>
    <t>H*2</t>
  </si>
  <si>
    <t>I 3</t>
  </si>
  <si>
    <t>I*4</t>
  </si>
  <si>
    <t>K 6</t>
  </si>
  <si>
    <t>K*6</t>
  </si>
  <si>
    <t>Operadores Tanque</t>
  </si>
  <si>
    <t>Subsidios medicamentos</t>
  </si>
  <si>
    <t>GUARDIAS MANTENIMIENTO</t>
  </si>
  <si>
    <t>GUARDIA MANTENIMIENTO</t>
  </si>
  <si>
    <t>ANTIGÜEDAD</t>
  </si>
  <si>
    <t>ANTIGUEDAD</t>
  </si>
  <si>
    <t>Categoria Operaciones</t>
  </si>
  <si>
    <t>5to TURNO Operaciones</t>
  </si>
  <si>
    <t>Escala salarial Oil Tanking</t>
  </si>
  <si>
    <t>Escala Salarial Refineria SAU</t>
  </si>
  <si>
    <t>Ajuste 2021/22,82% (57,82%A)</t>
  </si>
  <si>
    <t>15% no rem</t>
  </si>
  <si>
    <t>nov (15% no rem)</t>
  </si>
  <si>
    <t>Febrero             ( 10%no rem)</t>
  </si>
  <si>
    <t>Nov (15% no rem</t>
  </si>
  <si>
    <t>Febrero</t>
  </si>
  <si>
    <t>Febrero (10% no rem)</t>
  </si>
  <si>
    <t>Nov (15% no rem)</t>
  </si>
  <si>
    <t xml:space="preserve">Febrero (10% no rem) </t>
  </si>
  <si>
    <t>Noviembre</t>
  </si>
  <si>
    <t>Diciembre</t>
  </si>
  <si>
    <t>Enero</t>
  </si>
  <si>
    <t>10% no rem</t>
  </si>
  <si>
    <t>Abril</t>
  </si>
  <si>
    <t>20% no rem</t>
  </si>
  <si>
    <t>Marzo         (20% no rem)</t>
  </si>
  <si>
    <t>Abril (39% n0 rem)</t>
  </si>
  <si>
    <t>Marzo (20% no rem)</t>
  </si>
  <si>
    <t>Abril (39% no rem)</t>
  </si>
  <si>
    <t>Marzo</t>
  </si>
  <si>
    <t>39% no rem</t>
  </si>
  <si>
    <t>Total 2022</t>
  </si>
  <si>
    <t>GUARDIA</t>
  </si>
  <si>
    <t>Mayo 2023 (108,8%)</t>
  </si>
  <si>
    <t>Mayo 2023( 108,8%)</t>
  </si>
  <si>
    <t>Mayo 2023(108,8%)</t>
  </si>
  <si>
    <t>Abril 9,8%</t>
  </si>
  <si>
    <t>Abril (9,8% no rem)</t>
  </si>
  <si>
    <t>9,8% no rem</t>
  </si>
  <si>
    <t>Paritarias 2023/2024</t>
  </si>
  <si>
    <t>Junio 11% (NO REM)</t>
  </si>
  <si>
    <t>Julio 14% NO REM (25%A)</t>
  </si>
  <si>
    <t>Agosto 25% Básicos</t>
  </si>
  <si>
    <t>Sector Operaciones</t>
  </si>
  <si>
    <t>Convenio Marco Refinerias 2023/2024</t>
  </si>
  <si>
    <t>Junio</t>
  </si>
  <si>
    <t>Julio</t>
  </si>
  <si>
    <t>Agosto</t>
  </si>
  <si>
    <t>Subsidio por medicamento</t>
  </si>
  <si>
    <t>Subsidio por medicamentos</t>
  </si>
  <si>
    <t>SUBSIDIO MEDICAMENTOS</t>
  </si>
  <si>
    <t>Subsidio Medicamentos</t>
  </si>
  <si>
    <t>Diciem 2021 15%</t>
  </si>
  <si>
    <t>dic 15%(30% no rem A)*</t>
  </si>
  <si>
    <t>Enero 30% al basico (60%A)*</t>
  </si>
  <si>
    <t xml:space="preserve"> 15%(30% no rem A)*</t>
  </si>
  <si>
    <t xml:space="preserve"> 30% al basico (60%A)*</t>
  </si>
  <si>
    <t>Septirmbre 15%NO REM</t>
  </si>
  <si>
    <t>Septiembre</t>
  </si>
  <si>
    <t>Octubre</t>
  </si>
  <si>
    <t>Marzo 10% (20% A)</t>
  </si>
  <si>
    <t>Abril 19% (39% A)</t>
  </si>
  <si>
    <t>Abril 9,8% (48,8% A)</t>
  </si>
  <si>
    <t>Octubre 12,5% (27,5% A)</t>
  </si>
  <si>
    <t>Nov    17,5% (45% A)</t>
  </si>
  <si>
    <t>DICIEMBRE</t>
  </si>
  <si>
    <t>--</t>
  </si>
  <si>
    <t>Enero 93,1% Basico</t>
  </si>
  <si>
    <t>Dic. 23,1% (68,1%A)</t>
  </si>
  <si>
    <t>Dic 23,1% (68,1%A)</t>
  </si>
  <si>
    <t>Dic. 23,1%     (68,1%A)</t>
  </si>
  <si>
    <t>Dic 23% (68,1%A)</t>
  </si>
  <si>
    <t>Enero 55% NO REM</t>
  </si>
  <si>
    <t>Enero 55% no rem</t>
  </si>
  <si>
    <t xml:space="preserve">8 y 9 </t>
  </si>
  <si>
    <t>GUARDIAS CARGADERO</t>
  </si>
  <si>
    <t>Febrero 36,4% (91,4%A)</t>
  </si>
  <si>
    <t>Marzo 12,5% (103,9% A)</t>
  </si>
  <si>
    <t>Febrero 36,4% (91,4% A)</t>
  </si>
  <si>
    <t xml:space="preserve"> 93,1% Basico</t>
  </si>
  <si>
    <t xml:space="preserve"> 55% NO REM</t>
  </si>
  <si>
    <t>36,4 % (91,4%A)</t>
  </si>
  <si>
    <t>12,5% (103,9% A)</t>
  </si>
  <si>
    <t>TOTAL 2023</t>
  </si>
  <si>
    <t>Ajuste 25,05%</t>
  </si>
  <si>
    <t>Paritarias 2024/2025</t>
  </si>
  <si>
    <t>ajuste 25,05%</t>
  </si>
  <si>
    <t>Sector Mantenimiento</t>
  </si>
  <si>
    <t>Convenio Marco Refinerias 2024/2025</t>
  </si>
  <si>
    <t>(5,3% a marzo)15,7 % ajuste (A 118,9%)</t>
  </si>
  <si>
    <r>
      <rPr>
        <sz val="11"/>
        <color theme="1"/>
        <rFont val="Calibri"/>
        <family val="2"/>
        <scheme val="minor"/>
      </rPr>
      <t>Abril  257,48%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Basico </t>
    </r>
    <r>
      <rPr>
        <sz val="11"/>
        <color rgb="FFFF0000"/>
        <rFont val="Calibri"/>
        <family val="2"/>
        <scheme val="minor"/>
      </rPr>
      <t>(mes de referencia)</t>
    </r>
  </si>
  <si>
    <r>
      <t xml:space="preserve">Abril  257,48% Basico </t>
    </r>
    <r>
      <rPr>
        <sz val="11"/>
        <color rgb="FFFF0000"/>
        <rFont val="Calibri"/>
        <family val="2"/>
        <scheme val="minor"/>
      </rPr>
      <t>(mes de referencia)</t>
    </r>
  </si>
  <si>
    <t>41 BIS</t>
  </si>
  <si>
    <t>MAYO 8,8%</t>
  </si>
  <si>
    <t>Mayo 8,8 % NR</t>
  </si>
  <si>
    <t>Mayo 8,8% NR</t>
  </si>
  <si>
    <t>8,8% NR</t>
  </si>
  <si>
    <t>Mayo</t>
  </si>
  <si>
    <t>GUARDIA TURNO A= 15%(BASICO+TURNO)</t>
  </si>
  <si>
    <t>Junio 8,8% Básicos</t>
  </si>
  <si>
    <t>Junio 4,57%</t>
  </si>
  <si>
    <t>Junio suma fija 4,57%NR</t>
  </si>
  <si>
    <t>Junio 8,8% básicos</t>
  </si>
  <si>
    <t>Junio 4,57% NR</t>
  </si>
  <si>
    <t>Junio 8,8% Bàsicos</t>
  </si>
  <si>
    <t>junio 4,57%NR</t>
  </si>
  <si>
    <t>8,8% bàsico</t>
  </si>
  <si>
    <t>4,57% NR</t>
  </si>
  <si>
    <t>julio 13,37 al Básico</t>
  </si>
  <si>
    <t>13,37% Básico</t>
  </si>
  <si>
    <t>septiembre 9,96% NR</t>
  </si>
  <si>
    <t>Julio 4,57 al básico (13,37%A)</t>
  </si>
  <si>
    <t>Octubre    4% NR</t>
  </si>
  <si>
    <t>Diciembre 4% NR</t>
  </si>
  <si>
    <t>Enero 8% basico (36,85%A)</t>
  </si>
  <si>
    <t>Marzo 3%NR</t>
  </si>
  <si>
    <t>Julio 4,57% al Básico (13,37%A)</t>
  </si>
  <si>
    <t>Agosto 9,96%NR</t>
  </si>
  <si>
    <t>Octubre       4% NR</t>
  </si>
  <si>
    <t>Enero 8% básicos (36,85%A)</t>
  </si>
  <si>
    <t>Enero                3% NR</t>
  </si>
  <si>
    <t>Enero          3% NR</t>
  </si>
  <si>
    <t>Marzo         3% NR</t>
  </si>
  <si>
    <t>Agosto 9,96% NR</t>
  </si>
  <si>
    <t>Octubre     4% NR</t>
  </si>
  <si>
    <t>Enero         3% NR</t>
  </si>
  <si>
    <t>Marzo        3% NR</t>
  </si>
  <si>
    <t xml:space="preserve">Junio </t>
  </si>
  <si>
    <t>9,96 NR</t>
  </si>
  <si>
    <t>4% NR</t>
  </si>
  <si>
    <t>4%NR</t>
  </si>
  <si>
    <t>8% básicos (36,85%A)</t>
  </si>
  <si>
    <t>3% NR</t>
  </si>
  <si>
    <t xml:space="preserve">septiembre 15,14% básicos  (28,51%A) </t>
  </si>
  <si>
    <t>Septiembre 15,14% básicos (28,51%A)</t>
  </si>
  <si>
    <t>septiembre 15,14%</t>
  </si>
  <si>
    <t>15,14% básicos (28,51% 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</si>
</sst>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\ #,##0;[Red]&quot;$&quot;\ \-#,##0"/>
    <numFmt numFmtId="44" formatCode="_ &quot;$&quot;\ * #,##0.00_ ;_ &quot;$&quot;\ * \-#,##0.00_ ;_ &quot;$&quot;\ * &quot;-&quot;??_ ;_ @_ "/>
    <numFmt numFmtId="164" formatCode="_ &quot;$&quot;\ * #,##0_ ;_ &quot;$&quot;\ * \-#,##0_ ;_ &quot;$&quot;\ * &quot;-&quot;??_ ;_ @_ "/>
    <numFmt numFmtId="165" formatCode="&quot;$&quot;\ #,##0"/>
    <numFmt numFmtId="166" formatCode="&quot;$&quot;\ #,##0.00"/>
    <numFmt numFmtId="167" formatCode="[$$-2C0A]\ #,##0.00;[Red][$$-2C0A]\ #,##0.00"/>
    <numFmt numFmtId="168" formatCode="_ &quot;$&quot;\ * #,##0.0_ ;_ &quot;$&quot;\ * \-#,##0.0_ ;_ &quot;$&quot;\ * &quot;-&quot;??_ ;_ @_ "/>
    <numFmt numFmtId="169" formatCode="_ &quot;$&quot;\ * #,##0.0_ ;_ &quot;$&quot;\ * \-#,##0.0_ ;_ &quot;$&quot;\ * &quot;-&quot;?_ ;_ @_ "/>
    <numFmt numFmtId="170" formatCode="0.0%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10"/>
      <name val="Times New Roman"/>
      <family val="1"/>
    </font>
    <font>
      <b/>
      <sz val="16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Times New Roman"/>
      <family val="1"/>
    </font>
    <font>
      <b/>
      <sz val="14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u/>
      <sz val="16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1424">
    <xf numFmtId="0" fontId="0" fillId="0" borderId="0" xfId="0"/>
    <xf numFmtId="44" fontId="11" fillId="0" borderId="0" xfId="1" applyFont="1" applyAlignment="1">
      <alignment horizontal="center" vertical="center"/>
    </xf>
    <xf numFmtId="0" fontId="12" fillId="8" borderId="0" xfId="0" applyFont="1" applyFill="1" applyBorder="1" applyAlignment="1">
      <alignment horizontal="center" vertical="center"/>
    </xf>
    <xf numFmtId="164" fontId="9" fillId="8" borderId="0" xfId="1" applyNumberFormat="1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23" xfId="0" applyFont="1" applyFill="1" applyBorder="1" applyAlignment="1">
      <alignment horizontal="center" vertical="center"/>
    </xf>
    <xf numFmtId="0" fontId="2" fillId="10" borderId="22" xfId="0" applyFont="1" applyFill="1" applyBorder="1" applyAlignment="1">
      <alignment horizontal="center" vertical="center"/>
    </xf>
    <xf numFmtId="168" fontId="2" fillId="10" borderId="48" xfId="1" applyNumberFormat="1" applyFont="1" applyFill="1" applyBorder="1" applyAlignment="1">
      <alignment horizontal="center" vertical="center"/>
    </xf>
    <xf numFmtId="168" fontId="2" fillId="5" borderId="48" xfId="1" applyNumberFormat="1" applyFont="1" applyFill="1" applyBorder="1" applyAlignment="1">
      <alignment horizontal="center" vertical="center"/>
    </xf>
    <xf numFmtId="164" fontId="2" fillId="5" borderId="2" xfId="1" applyNumberFormat="1" applyFont="1" applyFill="1" applyBorder="1" applyAlignment="1">
      <alignment horizontal="center" vertical="center"/>
    </xf>
    <xf numFmtId="164" fontId="2" fillId="10" borderId="2" xfId="1" applyNumberFormat="1" applyFont="1" applyFill="1" applyBorder="1" applyAlignment="1">
      <alignment horizontal="center" vertical="center"/>
    </xf>
    <xf numFmtId="164" fontId="2" fillId="5" borderId="48" xfId="1" applyNumberFormat="1" applyFont="1" applyFill="1" applyBorder="1" applyAlignment="1">
      <alignment horizontal="center" vertical="center"/>
    </xf>
    <xf numFmtId="164" fontId="2" fillId="10" borderId="48" xfId="1" applyNumberFormat="1" applyFont="1" applyFill="1" applyBorder="1" applyAlignment="1">
      <alignment horizontal="center" vertical="center"/>
    </xf>
    <xf numFmtId="167" fontId="12" fillId="4" borderId="2" xfId="1" applyNumberFormat="1" applyFont="1" applyFill="1" applyBorder="1" applyAlignment="1">
      <alignment horizontal="center" vertical="center"/>
    </xf>
    <xf numFmtId="167" fontId="12" fillId="4" borderId="48" xfId="1" applyNumberFormat="1" applyFont="1" applyFill="1" applyBorder="1" applyAlignment="1">
      <alignment horizontal="center" vertical="center"/>
    </xf>
    <xf numFmtId="166" fontId="12" fillId="4" borderId="2" xfId="1" applyNumberFormat="1" applyFont="1" applyFill="1" applyBorder="1" applyAlignment="1">
      <alignment horizontal="center" vertical="center"/>
    </xf>
    <xf numFmtId="0" fontId="17" fillId="8" borderId="0" xfId="0" applyFont="1" applyFill="1" applyBorder="1" applyAlignment="1">
      <alignment horizontal="center" vertical="center"/>
    </xf>
    <xf numFmtId="164" fontId="8" fillId="5" borderId="48" xfId="1" applyNumberFormat="1" applyFont="1" applyFill="1" applyBorder="1" applyAlignment="1">
      <alignment horizontal="center" vertical="center"/>
    </xf>
    <xf numFmtId="164" fontId="8" fillId="5" borderId="63" xfId="1" applyNumberFormat="1" applyFont="1" applyFill="1" applyBorder="1" applyAlignment="1">
      <alignment horizontal="center" vertical="center"/>
    </xf>
    <xf numFmtId="164" fontId="20" fillId="4" borderId="63" xfId="1" applyNumberFormat="1" applyFont="1" applyFill="1" applyBorder="1" applyAlignment="1">
      <alignment horizontal="center" vertical="center"/>
    </xf>
    <xf numFmtId="164" fontId="20" fillId="5" borderId="63" xfId="1" applyNumberFormat="1" applyFont="1" applyFill="1" applyBorder="1" applyAlignment="1">
      <alignment horizontal="center" vertical="center"/>
    </xf>
    <xf numFmtId="168" fontId="8" fillId="4" borderId="2" xfId="1" applyNumberFormat="1" applyFont="1" applyFill="1" applyBorder="1" applyAlignment="1">
      <alignment horizontal="center" vertical="center" wrapText="1"/>
    </xf>
    <xf numFmtId="168" fontId="8" fillId="4" borderId="63" xfId="1" applyNumberFormat="1" applyFont="1" applyFill="1" applyBorder="1" applyAlignment="1">
      <alignment horizontal="center" vertical="center" wrapText="1"/>
    </xf>
    <xf numFmtId="168" fontId="8" fillId="4" borderId="62" xfId="1" applyNumberFormat="1" applyFont="1" applyFill="1" applyBorder="1" applyAlignment="1">
      <alignment horizontal="center" vertical="center" wrapText="1"/>
    </xf>
    <xf numFmtId="168" fontId="8" fillId="4" borderId="48" xfId="1" applyNumberFormat="1" applyFont="1" applyFill="1" applyBorder="1" applyAlignment="1">
      <alignment horizontal="center" vertical="center" wrapText="1"/>
    </xf>
    <xf numFmtId="44" fontId="9" fillId="4" borderId="2" xfId="1" applyFont="1" applyFill="1" applyBorder="1" applyAlignment="1">
      <alignment horizontal="center" vertical="center"/>
    </xf>
    <xf numFmtId="44" fontId="8" fillId="4" borderId="31" xfId="1" applyFont="1" applyFill="1" applyBorder="1" applyAlignment="1">
      <alignment horizontal="center" vertical="center"/>
    </xf>
    <xf numFmtId="44" fontId="8" fillId="4" borderId="63" xfId="1" applyFont="1" applyFill="1" applyBorder="1" applyAlignment="1">
      <alignment horizontal="center" vertical="center"/>
    </xf>
    <xf numFmtId="44" fontId="8" fillId="4" borderId="48" xfId="1" applyFont="1" applyFill="1" applyBorder="1" applyAlignment="1">
      <alignment horizontal="center" vertical="center"/>
    </xf>
    <xf numFmtId="44" fontId="2" fillId="4" borderId="2" xfId="1" applyFont="1" applyFill="1" applyBorder="1" applyAlignment="1">
      <alignment horizontal="center" vertical="center"/>
    </xf>
    <xf numFmtId="0" fontId="6" fillId="5" borderId="56" xfId="0" applyFont="1" applyFill="1" applyBorder="1" applyAlignment="1">
      <alignment horizontal="center" vertical="center" wrapText="1"/>
    </xf>
    <xf numFmtId="44" fontId="12" fillId="3" borderId="2" xfId="1" applyFont="1" applyFill="1" applyBorder="1" applyAlignment="1">
      <alignment horizontal="center" vertical="center"/>
    </xf>
    <xf numFmtId="44" fontId="12" fillId="3" borderId="63" xfId="1" applyFont="1" applyFill="1" applyBorder="1" applyAlignment="1">
      <alignment horizontal="center" vertical="center"/>
    </xf>
    <xf numFmtId="44" fontId="12" fillId="3" borderId="48" xfId="1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7" borderId="39" xfId="0" applyFont="1" applyFill="1" applyBorder="1" applyAlignment="1">
      <alignment horizontal="center" vertical="center" wrapText="1"/>
    </xf>
    <xf numFmtId="0" fontId="13" fillId="11" borderId="8" xfId="0" applyFont="1" applyFill="1" applyBorder="1" applyAlignment="1">
      <alignment horizontal="center" vertical="center"/>
    </xf>
    <xf numFmtId="0" fontId="13" fillId="12" borderId="13" xfId="0" applyFont="1" applyFill="1" applyBorder="1" applyAlignment="1">
      <alignment horizontal="center" vertical="center" wrapText="1"/>
    </xf>
    <xf numFmtId="0" fontId="13" fillId="11" borderId="13" xfId="0" applyFont="1" applyFill="1" applyBorder="1" applyAlignment="1">
      <alignment horizontal="center" vertical="center"/>
    </xf>
    <xf numFmtId="0" fontId="13" fillId="12" borderId="20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0" fontId="13" fillId="12" borderId="8" xfId="0" applyFont="1" applyFill="1" applyBorder="1" applyAlignment="1">
      <alignment horizontal="center" vertical="center" wrapText="1"/>
    </xf>
    <xf numFmtId="0" fontId="13" fillId="12" borderId="27" xfId="0" applyFont="1" applyFill="1" applyBorder="1" applyAlignment="1">
      <alignment horizontal="center" vertical="center" wrapText="1"/>
    </xf>
    <xf numFmtId="0" fontId="13" fillId="11" borderId="5" xfId="0" applyFont="1" applyFill="1" applyBorder="1" applyAlignment="1">
      <alignment horizontal="center" vertical="center" wrapText="1"/>
    </xf>
    <xf numFmtId="0" fontId="13" fillId="6" borderId="21" xfId="0" applyFont="1" applyFill="1" applyBorder="1" applyAlignment="1">
      <alignment horizontal="center" vertical="center" wrapText="1"/>
    </xf>
    <xf numFmtId="167" fontId="12" fillId="4" borderId="45" xfId="1" applyNumberFormat="1" applyFont="1" applyFill="1" applyBorder="1" applyAlignment="1">
      <alignment horizontal="center" vertical="center"/>
    </xf>
    <xf numFmtId="167" fontId="12" fillId="4" borderId="47" xfId="1" applyNumberFormat="1" applyFont="1" applyFill="1" applyBorder="1" applyAlignment="1">
      <alignment horizontal="center" vertical="center"/>
    </xf>
    <xf numFmtId="167" fontId="12" fillId="4" borderId="50" xfId="1" applyNumberFormat="1" applyFont="1" applyFill="1" applyBorder="1" applyAlignment="1">
      <alignment horizontal="center" vertical="center"/>
    </xf>
    <xf numFmtId="167" fontId="12" fillId="4" borderId="63" xfId="1" applyNumberFormat="1" applyFont="1" applyFill="1" applyBorder="1" applyAlignment="1">
      <alignment horizontal="center" vertical="center"/>
    </xf>
    <xf numFmtId="0" fontId="12" fillId="4" borderId="47" xfId="1" applyNumberFormat="1" applyFont="1" applyFill="1" applyBorder="1" applyAlignment="1">
      <alignment horizontal="center" vertical="center"/>
    </xf>
    <xf numFmtId="0" fontId="12" fillId="4" borderId="50" xfId="1" applyNumberFormat="1" applyFont="1" applyFill="1" applyBorder="1" applyAlignment="1">
      <alignment horizontal="center" vertical="center"/>
    </xf>
    <xf numFmtId="166" fontId="12" fillId="4" borderId="45" xfId="1" applyNumberFormat="1" applyFont="1" applyFill="1" applyBorder="1" applyAlignment="1">
      <alignment horizontal="center" vertical="center"/>
    </xf>
    <xf numFmtId="168" fontId="8" fillId="4" borderId="51" xfId="1" applyNumberFormat="1" applyFont="1" applyFill="1" applyBorder="1" applyAlignment="1">
      <alignment horizontal="center" vertical="center" wrapText="1"/>
    </xf>
    <xf numFmtId="168" fontId="8" fillId="4" borderId="49" xfId="1" applyNumberFormat="1" applyFont="1" applyFill="1" applyBorder="1" applyAlignment="1">
      <alignment horizontal="center" vertical="center" wrapText="1"/>
    </xf>
    <xf numFmtId="44" fontId="8" fillId="4" borderId="65" xfId="1" applyFont="1" applyFill="1" applyBorder="1" applyAlignment="1">
      <alignment horizontal="center" vertical="center"/>
    </xf>
    <xf numFmtId="44" fontId="8" fillId="4" borderId="64" xfId="1" applyFont="1" applyFill="1" applyBorder="1" applyAlignment="1">
      <alignment horizontal="center" vertical="center"/>
    </xf>
    <xf numFmtId="44" fontId="8" fillId="4" borderId="49" xfId="1" applyFont="1" applyFill="1" applyBorder="1" applyAlignment="1">
      <alignment horizontal="center" vertical="center"/>
    </xf>
    <xf numFmtId="168" fontId="8" fillId="5" borderId="4" xfId="1" applyNumberFormat="1" applyFont="1" applyFill="1" applyBorder="1" applyAlignment="1">
      <alignment horizontal="center" vertical="center" wrapText="1"/>
    </xf>
    <xf numFmtId="168" fontId="8" fillId="5" borderId="22" xfId="1" applyNumberFormat="1" applyFont="1" applyFill="1" applyBorder="1" applyAlignment="1">
      <alignment horizontal="center" vertical="center" wrapText="1"/>
    </xf>
    <xf numFmtId="168" fontId="8" fillId="5" borderId="39" xfId="1" applyNumberFormat="1" applyFont="1" applyFill="1" applyBorder="1" applyAlignment="1">
      <alignment horizontal="center" vertical="center" wrapText="1"/>
    </xf>
    <xf numFmtId="168" fontId="8" fillId="5" borderId="23" xfId="1" applyNumberFormat="1" applyFont="1" applyFill="1" applyBorder="1" applyAlignment="1">
      <alignment horizontal="center" vertical="center" wrapText="1"/>
    </xf>
    <xf numFmtId="44" fontId="8" fillId="5" borderId="4" xfId="1" applyFont="1" applyFill="1" applyBorder="1" applyAlignment="1">
      <alignment horizontal="center" vertical="center"/>
    </xf>
    <xf numFmtId="44" fontId="8" fillId="5" borderId="14" xfId="1" applyFont="1" applyFill="1" applyBorder="1" applyAlignment="1">
      <alignment horizontal="center" vertical="center"/>
    </xf>
    <xf numFmtId="44" fontId="8" fillId="5" borderId="22" xfId="1" applyFont="1" applyFill="1" applyBorder="1" applyAlignment="1">
      <alignment horizontal="center" vertical="center"/>
    </xf>
    <xf numFmtId="44" fontId="8" fillId="5" borderId="23" xfId="1" applyFont="1" applyFill="1" applyBorder="1" applyAlignment="1">
      <alignment horizontal="center" vertical="center"/>
    </xf>
    <xf numFmtId="168" fontId="8" fillId="4" borderId="45" xfId="1" applyNumberFormat="1" applyFont="1" applyFill="1" applyBorder="1" applyAlignment="1">
      <alignment horizontal="center" vertical="center" wrapText="1"/>
    </xf>
    <xf numFmtId="168" fontId="9" fillId="4" borderId="46" xfId="1" applyNumberFormat="1" applyFont="1" applyFill="1" applyBorder="1" applyAlignment="1">
      <alignment horizontal="center" vertical="center" wrapText="1"/>
    </xf>
    <xf numFmtId="168" fontId="8" fillId="4" borderId="50" xfId="1" applyNumberFormat="1" applyFont="1" applyFill="1" applyBorder="1" applyAlignment="1">
      <alignment horizontal="center" vertical="center" wrapText="1"/>
    </xf>
    <xf numFmtId="168" fontId="9" fillId="4" borderId="64" xfId="1" applyNumberFormat="1" applyFont="1" applyFill="1" applyBorder="1" applyAlignment="1">
      <alignment horizontal="center" vertical="center" wrapText="1"/>
    </xf>
    <xf numFmtId="168" fontId="8" fillId="4" borderId="71" xfId="1" applyNumberFormat="1" applyFont="1" applyFill="1" applyBorder="1" applyAlignment="1">
      <alignment horizontal="center" vertical="center" wrapText="1"/>
    </xf>
    <xf numFmtId="168" fontId="9" fillId="4" borderId="51" xfId="1" applyNumberFormat="1" applyFont="1" applyFill="1" applyBorder="1" applyAlignment="1">
      <alignment horizontal="center" vertical="center" wrapText="1"/>
    </xf>
    <xf numFmtId="168" fontId="8" fillId="4" borderId="47" xfId="1" applyNumberFormat="1" applyFont="1" applyFill="1" applyBorder="1" applyAlignment="1">
      <alignment horizontal="center" vertical="center" wrapText="1"/>
    </xf>
    <xf numFmtId="44" fontId="9" fillId="4" borderId="45" xfId="1" applyFont="1" applyFill="1" applyBorder="1" applyAlignment="1">
      <alignment horizontal="center" vertical="center"/>
    </xf>
    <xf numFmtId="44" fontId="9" fillId="4" borderId="46" xfId="1" applyFont="1" applyFill="1" applyBorder="1" applyAlignment="1">
      <alignment horizontal="center" vertical="center"/>
    </xf>
    <xf numFmtId="44" fontId="8" fillId="4" borderId="32" xfId="1" applyFont="1" applyFill="1" applyBorder="1" applyAlignment="1">
      <alignment horizontal="center" vertical="center"/>
    </xf>
    <xf numFmtId="44" fontId="8" fillId="4" borderId="50" xfId="1" applyFont="1" applyFill="1" applyBorder="1" applyAlignment="1">
      <alignment horizontal="center" vertical="center"/>
    </xf>
    <xf numFmtId="44" fontId="8" fillId="4" borderId="47" xfId="1" applyFont="1" applyFill="1" applyBorder="1" applyAlignment="1">
      <alignment horizontal="center" vertical="center"/>
    </xf>
    <xf numFmtId="168" fontId="8" fillId="5" borderId="71" xfId="1" applyNumberFormat="1" applyFont="1" applyFill="1" applyBorder="1" applyAlignment="1">
      <alignment horizontal="center" vertical="center" wrapText="1"/>
    </xf>
    <xf numFmtId="168" fontId="8" fillId="5" borderId="51" xfId="1" applyNumberFormat="1" applyFont="1" applyFill="1" applyBorder="1" applyAlignment="1">
      <alignment horizontal="center" vertical="center" wrapText="1"/>
    </xf>
    <xf numFmtId="168" fontId="8" fillId="5" borderId="47" xfId="1" applyNumberFormat="1" applyFont="1" applyFill="1" applyBorder="1" applyAlignment="1">
      <alignment horizontal="center" vertical="center" wrapText="1"/>
    </xf>
    <xf numFmtId="168" fontId="8" fillId="5" borderId="49" xfId="1" applyNumberFormat="1" applyFont="1" applyFill="1" applyBorder="1" applyAlignment="1">
      <alignment horizontal="center" vertical="center" wrapText="1"/>
    </xf>
    <xf numFmtId="44" fontId="2" fillId="5" borderId="45" xfId="1" applyFont="1" applyFill="1" applyBorder="1" applyAlignment="1">
      <alignment horizontal="center" vertical="center"/>
    </xf>
    <xf numFmtId="44" fontId="2" fillId="5" borderId="46" xfId="1" applyFont="1" applyFill="1" applyBorder="1" applyAlignment="1">
      <alignment horizontal="center" vertical="center"/>
    </xf>
    <xf numFmtId="44" fontId="8" fillId="5" borderId="32" xfId="1" applyFont="1" applyFill="1" applyBorder="1" applyAlignment="1">
      <alignment horizontal="center" vertical="center"/>
    </xf>
    <xf numFmtId="44" fontId="8" fillId="5" borderId="65" xfId="1" applyFont="1" applyFill="1" applyBorder="1" applyAlignment="1">
      <alignment horizontal="center" vertical="center"/>
    </xf>
    <xf numFmtId="44" fontId="8" fillId="5" borderId="50" xfId="1" applyFont="1" applyFill="1" applyBorder="1" applyAlignment="1">
      <alignment horizontal="center" vertical="center"/>
    </xf>
    <xf numFmtId="44" fontId="8" fillId="5" borderId="64" xfId="1" applyFont="1" applyFill="1" applyBorder="1" applyAlignment="1">
      <alignment horizontal="center" vertical="center"/>
    </xf>
    <xf numFmtId="44" fontId="8" fillId="5" borderId="47" xfId="1" applyFont="1" applyFill="1" applyBorder="1" applyAlignment="1">
      <alignment horizontal="center" vertical="center"/>
    </xf>
    <xf numFmtId="44" fontId="8" fillId="5" borderId="49" xfId="1" applyFont="1" applyFill="1" applyBorder="1" applyAlignment="1">
      <alignment horizontal="center" vertical="center"/>
    </xf>
    <xf numFmtId="44" fontId="2" fillId="4" borderId="45" xfId="1" applyFont="1" applyFill="1" applyBorder="1" applyAlignment="1">
      <alignment horizontal="center" vertical="center"/>
    </xf>
    <xf numFmtId="164" fontId="8" fillId="5" borderId="50" xfId="1" applyNumberFormat="1" applyFont="1" applyFill="1" applyBorder="1" applyAlignment="1">
      <alignment horizontal="center" vertical="center"/>
    </xf>
    <xf numFmtId="164" fontId="8" fillId="5" borderId="47" xfId="1" applyNumberFormat="1" applyFont="1" applyFill="1" applyBorder="1" applyAlignment="1">
      <alignment horizontal="center" vertical="center"/>
    </xf>
    <xf numFmtId="164" fontId="20" fillId="4" borderId="2" xfId="1" applyNumberFormat="1" applyFont="1" applyFill="1" applyBorder="1" applyAlignment="1">
      <alignment horizontal="center" vertical="center"/>
    </xf>
    <xf numFmtId="164" fontId="20" fillId="5" borderId="2" xfId="1" applyNumberFormat="1" applyFont="1" applyFill="1" applyBorder="1" applyAlignment="1">
      <alignment horizontal="center" vertical="center"/>
    </xf>
    <xf numFmtId="164" fontId="20" fillId="4" borderId="48" xfId="1" applyNumberFormat="1" applyFont="1" applyFill="1" applyBorder="1" applyAlignment="1">
      <alignment horizontal="center" vertical="center"/>
    </xf>
    <xf numFmtId="164" fontId="20" fillId="5" borderId="48" xfId="1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6" fillId="5" borderId="53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20" fillId="5" borderId="54" xfId="0" applyFont="1" applyFill="1" applyBorder="1" applyAlignment="1">
      <alignment horizontal="center" vertical="center" wrapText="1"/>
    </xf>
    <xf numFmtId="17" fontId="20" fillId="4" borderId="56" xfId="0" applyNumberFormat="1" applyFont="1" applyFill="1" applyBorder="1" applyAlignment="1">
      <alignment horizontal="center" vertical="center" wrapText="1"/>
    </xf>
    <xf numFmtId="17" fontId="20" fillId="4" borderId="54" xfId="0" applyNumberFormat="1" applyFont="1" applyFill="1" applyBorder="1" applyAlignment="1">
      <alignment horizontal="center" vertical="center" wrapText="1"/>
    </xf>
    <xf numFmtId="17" fontId="20" fillId="5" borderId="56" xfId="0" applyNumberFormat="1" applyFont="1" applyFill="1" applyBorder="1" applyAlignment="1">
      <alignment horizontal="center" vertical="center" wrapText="1"/>
    </xf>
    <xf numFmtId="17" fontId="20" fillId="5" borderId="53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168" fontId="8" fillId="4" borderId="6" xfId="1" applyNumberFormat="1" applyFont="1" applyFill="1" applyBorder="1" applyAlignment="1">
      <alignment horizontal="center" vertical="center" wrapText="1"/>
    </xf>
    <xf numFmtId="168" fontId="8" fillId="4" borderId="36" xfId="1" applyNumberFormat="1" applyFont="1" applyFill="1" applyBorder="1" applyAlignment="1">
      <alignment horizontal="center" vertical="center" wrapText="1"/>
    </xf>
    <xf numFmtId="168" fontId="8" fillId="4" borderId="37" xfId="1" applyNumberFormat="1" applyFont="1" applyFill="1" applyBorder="1" applyAlignment="1">
      <alignment horizontal="center" vertical="center" wrapText="1"/>
    </xf>
    <xf numFmtId="168" fontId="8" fillId="4" borderId="69" xfId="1" applyNumberFormat="1" applyFont="1" applyFill="1" applyBorder="1" applyAlignment="1">
      <alignment horizontal="center" vertical="center" wrapText="1"/>
    </xf>
    <xf numFmtId="44" fontId="8" fillId="4" borderId="6" xfId="1" applyFont="1" applyFill="1" applyBorder="1" applyAlignment="1">
      <alignment horizontal="center" vertical="center"/>
    </xf>
    <xf numFmtId="44" fontId="8" fillId="4" borderId="35" xfId="1" applyFont="1" applyFill="1" applyBorder="1" applyAlignment="1">
      <alignment horizontal="center" vertical="center"/>
    </xf>
    <xf numFmtId="44" fontId="8" fillId="4" borderId="36" xfId="1" applyFont="1" applyFill="1" applyBorder="1" applyAlignment="1">
      <alignment horizontal="center" vertical="center"/>
    </xf>
    <xf numFmtId="44" fontId="8" fillId="4" borderId="69" xfId="1" applyFont="1" applyFill="1" applyBorder="1" applyAlignment="1">
      <alignment horizontal="center" vertical="center"/>
    </xf>
    <xf numFmtId="0" fontId="8" fillId="11" borderId="4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11" borderId="22" xfId="0" applyFont="1" applyFill="1" applyBorder="1" applyAlignment="1">
      <alignment horizontal="center" vertical="center"/>
    </xf>
    <xf numFmtId="0" fontId="8" fillId="13" borderId="39" xfId="0" applyFont="1" applyFill="1" applyBorder="1" applyAlignment="1">
      <alignment horizontal="center" vertical="center"/>
    </xf>
    <xf numFmtId="0" fontId="8" fillId="13" borderId="39" xfId="0" applyFont="1" applyFill="1" applyBorder="1" applyAlignment="1">
      <alignment horizontal="center" vertical="center" wrapText="1"/>
    </xf>
    <xf numFmtId="0" fontId="8" fillId="13" borderId="23" xfId="0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10" borderId="63" xfId="1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17" fontId="20" fillId="5" borderId="73" xfId="0" applyNumberFormat="1" applyFont="1" applyFill="1" applyBorder="1" applyAlignment="1">
      <alignment horizontal="center" vertical="center" wrapText="1"/>
    </xf>
    <xf numFmtId="17" fontId="20" fillId="4" borderId="55" xfId="0" applyNumberFormat="1" applyFont="1" applyFill="1" applyBorder="1" applyAlignment="1">
      <alignment horizontal="center" vertical="center" wrapText="1"/>
    </xf>
    <xf numFmtId="17" fontId="20" fillId="4" borderId="42" xfId="0" applyNumberFormat="1" applyFont="1" applyFill="1" applyBorder="1" applyAlignment="1">
      <alignment horizontal="center" vertical="center" wrapText="1"/>
    </xf>
    <xf numFmtId="168" fontId="8" fillId="4" borderId="40" xfId="1" applyNumberFormat="1" applyFont="1" applyFill="1" applyBorder="1" applyAlignment="1">
      <alignment horizontal="center" vertical="center" wrapText="1"/>
    </xf>
    <xf numFmtId="168" fontId="8" fillId="4" borderId="27" xfId="1" applyNumberFormat="1" applyFont="1" applyFill="1" applyBorder="1" applyAlignment="1">
      <alignment horizontal="center" vertical="center" wrapText="1"/>
    </xf>
    <xf numFmtId="164" fontId="2" fillId="4" borderId="5" xfId="0" applyNumberFormat="1" applyFont="1" applyFill="1" applyBorder="1" applyAlignment="1">
      <alignment horizontal="center" vertical="center"/>
    </xf>
    <xf numFmtId="164" fontId="8" fillId="4" borderId="33" xfId="1" applyNumberFormat="1" applyFont="1" applyFill="1" applyBorder="1" applyAlignment="1">
      <alignment horizontal="center" vertical="center"/>
    </xf>
    <xf numFmtId="164" fontId="8" fillId="4" borderId="21" xfId="1" applyNumberFormat="1" applyFont="1" applyFill="1" applyBorder="1" applyAlignment="1">
      <alignment horizontal="center" vertical="center"/>
    </xf>
    <xf numFmtId="164" fontId="8" fillId="4" borderId="27" xfId="1" applyNumberFormat="1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 wrapText="1"/>
    </xf>
    <xf numFmtId="0" fontId="21" fillId="4" borderId="42" xfId="0" applyFont="1" applyFill="1" applyBorder="1" applyAlignment="1">
      <alignment horizontal="center" vertical="center" wrapText="1"/>
    </xf>
    <xf numFmtId="168" fontId="2" fillId="10" borderId="63" xfId="1" applyNumberFormat="1" applyFont="1" applyFill="1" applyBorder="1" applyAlignment="1">
      <alignment horizontal="center" vertical="center"/>
    </xf>
    <xf numFmtId="168" fontId="2" fillId="5" borderId="63" xfId="1" applyNumberFormat="1" applyFont="1" applyFill="1" applyBorder="1" applyAlignment="1">
      <alignment horizontal="center" vertical="center"/>
    </xf>
    <xf numFmtId="168" fontId="2" fillId="5" borderId="25" xfId="1" applyNumberFormat="1" applyFont="1" applyFill="1" applyBorder="1" applyAlignment="1">
      <alignment horizontal="center" vertical="center"/>
    </xf>
    <xf numFmtId="168" fontId="2" fillId="5" borderId="52" xfId="1" applyNumberFormat="1" applyFont="1" applyFill="1" applyBorder="1" applyAlignment="1">
      <alignment horizontal="center" vertical="center"/>
    </xf>
    <xf numFmtId="168" fontId="2" fillId="5" borderId="24" xfId="1" applyNumberFormat="1" applyFont="1" applyFill="1" applyBorder="1" applyAlignment="1">
      <alignment horizontal="center" vertical="center"/>
    </xf>
    <xf numFmtId="168" fontId="2" fillId="10" borderId="50" xfId="1" applyNumberFormat="1" applyFont="1" applyFill="1" applyBorder="1" applyAlignment="1">
      <alignment horizontal="center" vertical="center"/>
    </xf>
    <xf numFmtId="168" fontId="2" fillId="10" borderId="47" xfId="1" applyNumberFormat="1" applyFont="1" applyFill="1" applyBorder="1" applyAlignment="1">
      <alignment horizontal="center" vertical="center"/>
    </xf>
    <xf numFmtId="164" fontId="2" fillId="5" borderId="63" xfId="1" applyNumberFormat="1" applyFont="1" applyFill="1" applyBorder="1" applyAlignment="1">
      <alignment horizontal="center" vertical="center"/>
    </xf>
    <xf numFmtId="0" fontId="2" fillId="7" borderId="47" xfId="0" applyFont="1" applyFill="1" applyBorder="1" applyAlignment="1">
      <alignment horizontal="center" vertical="center"/>
    </xf>
    <xf numFmtId="164" fontId="2" fillId="7" borderId="48" xfId="1" applyNumberFormat="1" applyFont="1" applyFill="1" applyBorder="1" applyAlignment="1">
      <alignment horizontal="center" vertical="center"/>
    </xf>
    <xf numFmtId="164" fontId="2" fillId="7" borderId="49" xfId="1" applyNumberFormat="1" applyFont="1" applyFill="1" applyBorder="1" applyAlignment="1">
      <alignment horizontal="center" vertical="center"/>
    </xf>
    <xf numFmtId="164" fontId="2" fillId="7" borderId="47" xfId="1" applyNumberFormat="1" applyFont="1" applyFill="1" applyBorder="1" applyAlignment="1">
      <alignment horizontal="center" vertical="center"/>
    </xf>
    <xf numFmtId="17" fontId="21" fillId="4" borderId="43" xfId="0" applyNumberFormat="1" applyFont="1" applyFill="1" applyBorder="1" applyAlignment="1">
      <alignment horizontal="center" vertical="center" wrapText="1"/>
    </xf>
    <xf numFmtId="0" fontId="13" fillId="6" borderId="40" xfId="0" applyFont="1" applyFill="1" applyBorder="1" applyAlignment="1">
      <alignment horizontal="center" vertical="center" wrapText="1"/>
    </xf>
    <xf numFmtId="0" fontId="12" fillId="4" borderId="71" xfId="1" applyNumberFormat="1" applyFont="1" applyFill="1" applyBorder="1" applyAlignment="1">
      <alignment horizontal="center" vertical="center"/>
    </xf>
    <xf numFmtId="167" fontId="12" fillId="4" borderId="62" xfId="1" applyNumberFormat="1" applyFont="1" applyFill="1" applyBorder="1" applyAlignment="1">
      <alignment horizontal="center" vertical="center"/>
    </xf>
    <xf numFmtId="167" fontId="12" fillId="4" borderId="71" xfId="1" applyNumberFormat="1" applyFont="1" applyFill="1" applyBorder="1" applyAlignment="1">
      <alignment horizontal="center" vertical="center"/>
    </xf>
    <xf numFmtId="0" fontId="2" fillId="7" borderId="50" xfId="0" applyFont="1" applyFill="1" applyBorder="1" applyAlignment="1">
      <alignment horizontal="center" vertical="center"/>
    </xf>
    <xf numFmtId="0" fontId="2" fillId="7" borderId="63" xfId="0" applyFont="1" applyFill="1" applyBorder="1" applyAlignment="1">
      <alignment horizontal="center" vertical="center"/>
    </xf>
    <xf numFmtId="0" fontId="2" fillId="7" borderId="64" xfId="0" applyFont="1" applyFill="1" applyBorder="1" applyAlignment="1">
      <alignment horizontal="center" vertical="center"/>
    </xf>
    <xf numFmtId="17" fontId="2" fillId="7" borderId="32" xfId="0" applyNumberFormat="1" applyFont="1" applyFill="1" applyBorder="1" applyAlignment="1">
      <alignment horizontal="center" vertical="center"/>
    </xf>
    <xf numFmtId="17" fontId="2" fillId="7" borderId="31" xfId="0" applyNumberFormat="1" applyFont="1" applyFill="1" applyBorder="1" applyAlignment="1">
      <alignment horizontal="center" vertical="center"/>
    </xf>
    <xf numFmtId="17" fontId="2" fillId="7" borderId="33" xfId="0" applyNumberFormat="1" applyFont="1" applyFill="1" applyBorder="1" applyAlignment="1">
      <alignment horizontal="center" vertical="center"/>
    </xf>
    <xf numFmtId="164" fontId="2" fillId="7" borderId="27" xfId="0" applyNumberFormat="1" applyFont="1" applyFill="1" applyBorder="1" applyAlignment="1">
      <alignment horizontal="center" vertical="center"/>
    </xf>
    <xf numFmtId="0" fontId="32" fillId="0" borderId="63" xfId="0" applyFont="1" applyBorder="1" applyAlignment="1">
      <alignment horizontal="center" vertical="center"/>
    </xf>
    <xf numFmtId="0" fontId="2" fillId="5" borderId="63" xfId="0" applyFont="1" applyFill="1" applyBorder="1" applyAlignment="1">
      <alignment horizontal="center" vertical="center" wrapText="1"/>
    </xf>
    <xf numFmtId="0" fontId="21" fillId="0" borderId="63" xfId="0" applyFont="1" applyBorder="1" applyAlignment="1">
      <alignment horizontal="center" vertical="center"/>
    </xf>
    <xf numFmtId="0" fontId="2" fillId="10" borderId="63" xfId="0" applyFont="1" applyFill="1" applyBorder="1" applyAlignment="1">
      <alignment horizontal="center" vertical="center" wrapText="1"/>
    </xf>
    <xf numFmtId="0" fontId="2" fillId="5" borderId="45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 wrapText="1"/>
    </xf>
    <xf numFmtId="168" fontId="8" fillId="5" borderId="63" xfId="1" applyNumberFormat="1" applyFont="1" applyFill="1" applyBorder="1" applyAlignment="1">
      <alignment horizontal="center" vertical="center" wrapText="1"/>
    </xf>
    <xf numFmtId="164" fontId="2" fillId="5" borderId="63" xfId="0" applyNumberFormat="1" applyFont="1" applyFill="1" applyBorder="1" applyAlignment="1">
      <alignment horizontal="center" vertical="center"/>
    </xf>
    <xf numFmtId="168" fontId="8" fillId="5" borderId="50" xfId="1" applyNumberFormat="1" applyFont="1" applyFill="1" applyBorder="1" applyAlignment="1">
      <alignment horizontal="center" vertical="center" wrapText="1"/>
    </xf>
    <xf numFmtId="164" fontId="2" fillId="5" borderId="50" xfId="0" applyNumberFormat="1" applyFont="1" applyFill="1" applyBorder="1" applyAlignment="1">
      <alignment horizontal="center" vertical="center"/>
    </xf>
    <xf numFmtId="17" fontId="21" fillId="4" borderId="1" xfId="0" applyNumberFormat="1" applyFont="1" applyFill="1" applyBorder="1" applyAlignment="1">
      <alignment horizontal="center" vertical="center" wrapText="1"/>
    </xf>
    <xf numFmtId="164" fontId="0" fillId="7" borderId="63" xfId="0" applyNumberFormat="1" applyFill="1" applyBorder="1"/>
    <xf numFmtId="0" fontId="10" fillId="4" borderId="9" xfId="0" applyFont="1" applyFill="1" applyBorder="1" applyAlignment="1">
      <alignment horizontal="center" vertical="center" wrapText="1"/>
    </xf>
    <xf numFmtId="0" fontId="21" fillId="0" borderId="63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0" fillId="2" borderId="30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34" fillId="7" borderId="33" xfId="0" applyFont="1" applyFill="1" applyBorder="1"/>
    <xf numFmtId="164" fontId="10" fillId="7" borderId="2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8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8" fontId="2" fillId="5" borderId="45" xfId="1" applyNumberFormat="1" applyFont="1" applyFill="1" applyBorder="1" applyAlignment="1">
      <alignment horizontal="center" vertical="center"/>
    </xf>
    <xf numFmtId="168" fontId="2" fillId="5" borderId="46" xfId="1" applyNumberFormat="1" applyFont="1" applyFill="1" applyBorder="1" applyAlignment="1">
      <alignment horizontal="center" vertical="center"/>
    </xf>
    <xf numFmtId="168" fontId="2" fillId="4" borderId="45" xfId="1" applyNumberFormat="1" applyFont="1" applyFill="1" applyBorder="1" applyAlignment="1">
      <alignment horizontal="center" vertical="center"/>
    </xf>
    <xf numFmtId="168" fontId="2" fillId="4" borderId="2" xfId="1" applyNumberFormat="1" applyFont="1" applyFill="1" applyBorder="1" applyAlignment="1">
      <alignment horizontal="center" vertical="center"/>
    </xf>
    <xf numFmtId="168" fontId="2" fillId="4" borderId="5" xfId="1" applyNumberFormat="1" applyFont="1" applyFill="1" applyBorder="1" applyAlignment="1">
      <alignment horizontal="center" vertical="center"/>
    </xf>
    <xf numFmtId="168" fontId="2" fillId="5" borderId="2" xfId="1" applyNumberFormat="1" applyFont="1" applyFill="1" applyBorder="1" applyAlignment="1">
      <alignment horizontal="center" vertical="center"/>
    </xf>
    <xf numFmtId="169" fontId="31" fillId="5" borderId="2" xfId="0" applyNumberFormat="1" applyFont="1" applyFill="1" applyBorder="1" applyAlignment="1">
      <alignment horizontal="center" vertical="center"/>
    </xf>
    <xf numFmtId="169" fontId="9" fillId="5" borderId="2" xfId="0" applyNumberFormat="1" applyFont="1" applyFill="1" applyBorder="1" applyAlignment="1">
      <alignment horizontal="center" vertical="center"/>
    </xf>
    <xf numFmtId="169" fontId="33" fillId="5" borderId="2" xfId="0" applyNumberFormat="1" applyFont="1" applyFill="1" applyBorder="1" applyAlignment="1">
      <alignment horizontal="center" vertical="center"/>
    </xf>
    <xf numFmtId="169" fontId="26" fillId="5" borderId="5" xfId="0" applyNumberFormat="1" applyFont="1" applyFill="1" applyBorder="1" applyAlignment="1">
      <alignment horizontal="center" vertical="center"/>
    </xf>
    <xf numFmtId="169" fontId="33" fillId="4" borderId="50" xfId="0" applyNumberFormat="1" applyFont="1" applyFill="1" applyBorder="1" applyAlignment="1">
      <alignment horizontal="center" vertical="center"/>
    </xf>
    <xf numFmtId="169" fontId="33" fillId="4" borderId="63" xfId="0" applyNumberFormat="1" applyFont="1" applyFill="1" applyBorder="1" applyAlignment="1">
      <alignment horizontal="center" vertical="center"/>
    </xf>
    <xf numFmtId="169" fontId="26" fillId="4" borderId="63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168" fontId="2" fillId="5" borderId="50" xfId="1" applyNumberFormat="1" applyFont="1" applyFill="1" applyBorder="1" applyAlignment="1">
      <alignment horizontal="center" vertical="center"/>
    </xf>
    <xf numFmtId="168" fontId="2" fillId="5" borderId="64" xfId="1" applyNumberFormat="1" applyFont="1" applyFill="1" applyBorder="1" applyAlignment="1">
      <alignment horizontal="center" vertical="center"/>
    </xf>
    <xf numFmtId="168" fontId="2" fillId="4" borderId="50" xfId="1" applyNumberFormat="1" applyFont="1" applyFill="1" applyBorder="1" applyAlignment="1">
      <alignment horizontal="center" vertical="center"/>
    </xf>
    <xf numFmtId="168" fontId="2" fillId="4" borderId="63" xfId="1" applyNumberFormat="1" applyFont="1" applyFill="1" applyBorder="1" applyAlignment="1">
      <alignment horizontal="center" vertical="center"/>
    </xf>
    <xf numFmtId="168" fontId="2" fillId="4" borderId="21" xfId="1" applyNumberFormat="1" applyFont="1" applyFill="1" applyBorder="1" applyAlignment="1">
      <alignment horizontal="center" vertical="center"/>
    </xf>
    <xf numFmtId="169" fontId="31" fillId="5" borderId="63" xfId="0" applyNumberFormat="1" applyFont="1" applyFill="1" applyBorder="1" applyAlignment="1">
      <alignment horizontal="center" vertical="center"/>
    </xf>
    <xf numFmtId="169" fontId="9" fillId="5" borderId="63" xfId="0" applyNumberFormat="1" applyFont="1" applyFill="1" applyBorder="1" applyAlignment="1">
      <alignment horizontal="center" vertical="center"/>
    </xf>
    <xf numFmtId="169" fontId="33" fillId="5" borderId="63" xfId="0" applyNumberFormat="1" applyFont="1" applyFill="1" applyBorder="1" applyAlignment="1">
      <alignment horizontal="center" vertical="center"/>
    </xf>
    <xf numFmtId="169" fontId="26" fillId="5" borderId="21" xfId="0" applyNumberFormat="1" applyFont="1" applyFill="1" applyBorder="1" applyAlignment="1">
      <alignment horizontal="center" vertical="center"/>
    </xf>
    <xf numFmtId="168" fontId="2" fillId="5" borderId="71" xfId="1" applyNumberFormat="1" applyFont="1" applyFill="1" applyBorder="1" applyAlignment="1">
      <alignment horizontal="center" vertical="center"/>
    </xf>
    <xf numFmtId="168" fontId="2" fillId="5" borderId="51" xfId="1" applyNumberFormat="1" applyFont="1" applyFill="1" applyBorder="1" applyAlignment="1">
      <alignment horizontal="center" vertical="center"/>
    </xf>
    <xf numFmtId="168" fontId="2" fillId="4" borderId="71" xfId="1" applyNumberFormat="1" applyFont="1" applyFill="1" applyBorder="1" applyAlignment="1">
      <alignment horizontal="center" vertical="center"/>
    </xf>
    <xf numFmtId="168" fontId="2" fillId="4" borderId="62" xfId="1" applyNumberFormat="1" applyFont="1" applyFill="1" applyBorder="1" applyAlignment="1">
      <alignment horizontal="center" vertical="center"/>
    </xf>
    <xf numFmtId="168" fontId="2" fillId="4" borderId="40" xfId="1" applyNumberFormat="1" applyFont="1" applyFill="1" applyBorder="1" applyAlignment="1">
      <alignment horizontal="center" vertical="center"/>
    </xf>
    <xf numFmtId="169" fontId="31" fillId="5" borderId="48" xfId="0" applyNumberFormat="1" applyFont="1" applyFill="1" applyBorder="1" applyAlignment="1">
      <alignment horizontal="center" vertical="center"/>
    </xf>
    <xf numFmtId="169" fontId="9" fillId="5" borderId="48" xfId="0" applyNumberFormat="1" applyFont="1" applyFill="1" applyBorder="1" applyAlignment="1">
      <alignment horizontal="center" vertical="center"/>
    </xf>
    <xf numFmtId="169" fontId="33" fillId="5" borderId="48" xfId="0" applyNumberFormat="1" applyFont="1" applyFill="1" applyBorder="1" applyAlignment="1">
      <alignment horizontal="center" vertical="center"/>
    </xf>
    <xf numFmtId="169" fontId="26" fillId="5" borderId="27" xfId="0" applyNumberFormat="1" applyFont="1" applyFill="1" applyBorder="1" applyAlignment="1">
      <alignment horizontal="center" vertical="center"/>
    </xf>
    <xf numFmtId="169" fontId="33" fillId="4" borderId="47" xfId="0" applyNumberFormat="1" applyFont="1" applyFill="1" applyBorder="1" applyAlignment="1">
      <alignment horizontal="center" vertical="center"/>
    </xf>
    <xf numFmtId="169" fontId="33" fillId="4" borderId="48" xfId="0" applyNumberFormat="1" applyFont="1" applyFill="1" applyBorder="1" applyAlignment="1">
      <alignment horizontal="center" vertical="center"/>
    </xf>
    <xf numFmtId="169" fontId="26" fillId="4" borderId="48" xfId="0" applyNumberFormat="1" applyFont="1" applyFill="1" applyBorder="1" applyAlignment="1">
      <alignment horizontal="center" vertical="center"/>
    </xf>
    <xf numFmtId="164" fontId="20" fillId="4" borderId="2" xfId="0" applyNumberFormat="1" applyFont="1" applyFill="1" applyBorder="1" applyAlignment="1">
      <alignment horizontal="center" vertical="center"/>
    </xf>
    <xf numFmtId="164" fontId="20" fillId="5" borderId="2" xfId="0" applyNumberFormat="1" applyFont="1" applyFill="1" applyBorder="1" applyAlignment="1">
      <alignment horizontal="center" vertical="center"/>
    </xf>
    <xf numFmtId="164" fontId="21" fillId="5" borderId="2" xfId="0" applyNumberFormat="1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/>
    </xf>
    <xf numFmtId="164" fontId="32" fillId="5" borderId="2" xfId="0" applyNumberFormat="1" applyFont="1" applyFill="1" applyBorder="1" applyAlignment="1">
      <alignment horizontal="center" vertical="center"/>
    </xf>
    <xf numFmtId="164" fontId="20" fillId="4" borderId="63" xfId="0" applyNumberFormat="1" applyFont="1" applyFill="1" applyBorder="1" applyAlignment="1">
      <alignment horizontal="center" vertical="center"/>
    </xf>
    <xf numFmtId="164" fontId="20" fillId="5" borderId="63" xfId="0" applyNumberFormat="1" applyFont="1" applyFill="1" applyBorder="1" applyAlignment="1">
      <alignment horizontal="center" vertical="center"/>
    </xf>
    <xf numFmtId="164" fontId="21" fillId="5" borderId="63" xfId="0" applyNumberFormat="1" applyFont="1" applyFill="1" applyBorder="1" applyAlignment="1">
      <alignment horizontal="center" vertical="center"/>
    </xf>
    <xf numFmtId="164" fontId="32" fillId="5" borderId="63" xfId="0" applyNumberFormat="1" applyFont="1" applyFill="1" applyBorder="1" applyAlignment="1">
      <alignment horizontal="center" vertical="center"/>
    </xf>
    <xf numFmtId="169" fontId="0" fillId="4" borderId="63" xfId="0" applyNumberFormat="1" applyFill="1" applyBorder="1" applyAlignment="1">
      <alignment horizontal="center" vertical="center"/>
    </xf>
    <xf numFmtId="164" fontId="20" fillId="4" borderId="48" xfId="0" applyNumberFormat="1" applyFont="1" applyFill="1" applyBorder="1" applyAlignment="1">
      <alignment horizontal="center" vertical="center"/>
    </xf>
    <xf numFmtId="164" fontId="20" fillId="5" borderId="48" xfId="0" applyNumberFormat="1" applyFont="1" applyFill="1" applyBorder="1" applyAlignment="1">
      <alignment horizontal="center" vertical="center"/>
    </xf>
    <xf numFmtId="164" fontId="10" fillId="5" borderId="63" xfId="0" applyNumberFormat="1" applyFont="1" applyFill="1" applyBorder="1" applyAlignment="1">
      <alignment horizontal="center" vertical="center"/>
    </xf>
    <xf numFmtId="164" fontId="34" fillId="5" borderId="63" xfId="0" applyNumberFormat="1" applyFont="1" applyFill="1" applyBorder="1" applyAlignment="1">
      <alignment horizontal="center" vertical="center"/>
    </xf>
    <xf numFmtId="164" fontId="2" fillId="8" borderId="0" xfId="0" applyNumberFormat="1" applyFon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32" fillId="5" borderId="45" xfId="0" applyFont="1" applyFill="1" applyBorder="1" applyAlignment="1">
      <alignment horizontal="center" vertical="center" wrapText="1"/>
    </xf>
    <xf numFmtId="0" fontId="32" fillId="5" borderId="2" xfId="0" applyFont="1" applyFill="1" applyBorder="1" applyAlignment="1">
      <alignment horizontal="center" vertical="center" wrapText="1"/>
    </xf>
    <xf numFmtId="164" fontId="21" fillId="0" borderId="63" xfId="1" applyNumberFormat="1" applyFont="1" applyBorder="1" applyAlignment="1">
      <alignment horizontal="center" vertical="center"/>
    </xf>
    <xf numFmtId="164" fontId="21" fillId="0" borderId="63" xfId="1" applyNumberFormat="1" applyFont="1" applyBorder="1" applyAlignment="1">
      <alignment horizontal="center" vertical="center" wrapText="1"/>
    </xf>
    <xf numFmtId="164" fontId="2" fillId="0" borderId="63" xfId="1" applyNumberFormat="1" applyFont="1" applyBorder="1" applyAlignment="1">
      <alignment horizontal="center" vertical="center" wrapText="1"/>
    </xf>
    <xf numFmtId="169" fontId="32" fillId="0" borderId="63" xfId="0" applyNumberFormat="1" applyFont="1" applyBorder="1" applyAlignment="1">
      <alignment horizontal="center" vertical="center"/>
    </xf>
    <xf numFmtId="169" fontId="0" fillId="0" borderId="21" xfId="0" applyNumberFormat="1" applyBorder="1" applyAlignment="1">
      <alignment horizontal="center" vertical="center"/>
    </xf>
    <xf numFmtId="169" fontId="32" fillId="0" borderId="50" xfId="0" applyNumberFormat="1" applyFont="1" applyBorder="1" applyAlignment="1">
      <alignment horizontal="center" vertical="center"/>
    </xf>
    <xf numFmtId="169" fontId="0" fillId="0" borderId="63" xfId="0" applyNumberFormat="1" applyBorder="1" applyAlignment="1">
      <alignment horizontal="center" vertical="center"/>
    </xf>
    <xf numFmtId="164" fontId="2" fillId="0" borderId="63" xfId="1" applyNumberFormat="1" applyFont="1" applyBorder="1" applyAlignment="1">
      <alignment horizontal="center" vertical="center"/>
    </xf>
    <xf numFmtId="164" fontId="21" fillId="0" borderId="48" xfId="1" applyNumberFormat="1" applyFont="1" applyBorder="1" applyAlignment="1">
      <alignment horizontal="center" vertical="center"/>
    </xf>
    <xf numFmtId="164" fontId="2" fillId="0" borderId="48" xfId="1" applyNumberFormat="1" applyFont="1" applyBorder="1" applyAlignment="1">
      <alignment horizontal="center" vertical="center"/>
    </xf>
    <xf numFmtId="169" fontId="32" fillId="0" borderId="48" xfId="0" applyNumberFormat="1" applyFont="1" applyBorder="1" applyAlignment="1">
      <alignment horizontal="center" vertical="center"/>
    </xf>
    <xf numFmtId="169" fontId="0" fillId="0" borderId="27" xfId="0" applyNumberFormat="1" applyBorder="1" applyAlignment="1">
      <alignment horizontal="center" vertical="center"/>
    </xf>
    <xf numFmtId="169" fontId="32" fillId="0" borderId="47" xfId="0" applyNumberFormat="1" applyFont="1" applyBorder="1" applyAlignment="1">
      <alignment horizontal="center" vertical="center"/>
    </xf>
    <xf numFmtId="169" fontId="0" fillId="0" borderId="48" xfId="0" applyNumberFormat="1" applyBorder="1" applyAlignment="1">
      <alignment horizontal="center" vertical="center"/>
    </xf>
    <xf numFmtId="164" fontId="21" fillId="0" borderId="2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164" fontId="32" fillId="0" borderId="2" xfId="0" applyNumberFormat="1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34" fillId="0" borderId="45" xfId="0" applyNumberFormat="1" applyFont="1" applyBorder="1" applyAlignment="1">
      <alignment horizontal="center" vertical="center"/>
    </xf>
    <xf numFmtId="164" fontId="34" fillId="0" borderId="2" xfId="0" applyNumberFormat="1" applyFont="1" applyBorder="1" applyAlignment="1">
      <alignment horizontal="center" vertical="center"/>
    </xf>
    <xf numFmtId="164" fontId="32" fillId="0" borderId="63" xfId="0" applyNumberFormat="1" applyFon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34" fillId="0" borderId="50" xfId="0" applyNumberFormat="1" applyFont="1" applyBorder="1" applyAlignment="1">
      <alignment horizontal="center" vertical="center"/>
    </xf>
    <xf numFmtId="164" fontId="34" fillId="0" borderId="47" xfId="0" applyNumberFormat="1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164" fontId="34" fillId="0" borderId="2" xfId="0" applyNumberFormat="1" applyFont="1" applyBorder="1" applyAlignment="1">
      <alignment vertical="center"/>
    </xf>
    <xf numFmtId="164" fontId="32" fillId="0" borderId="2" xfId="0" applyNumberFormat="1" applyFont="1" applyBorder="1" applyAlignment="1">
      <alignment vertical="center"/>
    </xf>
    <xf numFmtId="0" fontId="0" fillId="5" borderId="2" xfId="0" applyFill="1" applyBorder="1" applyAlignment="1">
      <alignment vertical="center" wrapText="1"/>
    </xf>
    <xf numFmtId="169" fontId="33" fillId="4" borderId="45" xfId="0" applyNumberFormat="1" applyFont="1" applyFill="1" applyBorder="1" applyAlignment="1">
      <alignment horizontal="center" vertical="center"/>
    </xf>
    <xf numFmtId="169" fontId="33" fillId="4" borderId="2" xfId="0" applyNumberFormat="1" applyFont="1" applyFill="1" applyBorder="1" applyAlignment="1">
      <alignment horizontal="center" vertical="center"/>
    </xf>
    <xf numFmtId="169" fontId="26" fillId="4" borderId="2" xfId="0" applyNumberFormat="1" applyFont="1" applyFill="1" applyBorder="1" applyAlignment="1">
      <alignment horizontal="center" vertical="center"/>
    </xf>
    <xf numFmtId="169" fontId="32" fillId="4" borderId="2" xfId="0" applyNumberFormat="1" applyFont="1" applyFill="1" applyBorder="1" applyAlignment="1">
      <alignment horizontal="center" vertical="center"/>
    </xf>
    <xf numFmtId="169" fontId="34" fillId="4" borderId="2" xfId="0" applyNumberFormat="1" applyFont="1" applyFill="1" applyBorder="1" applyAlignment="1">
      <alignment horizontal="center" vertical="center"/>
    </xf>
    <xf numFmtId="169" fontId="26" fillId="4" borderId="50" xfId="0" applyNumberFormat="1" applyFont="1" applyFill="1" applyBorder="1" applyAlignment="1">
      <alignment horizontal="center" vertical="center"/>
    </xf>
    <xf numFmtId="169" fontId="26" fillId="4" borderId="47" xfId="0" applyNumberFormat="1" applyFont="1" applyFill="1" applyBorder="1" applyAlignment="1">
      <alignment horizontal="center" vertical="center"/>
    </xf>
    <xf numFmtId="169" fontId="0" fillId="4" borderId="48" xfId="0" applyNumberFormat="1" applyFont="1" applyFill="1" applyBorder="1" applyAlignment="1">
      <alignment horizontal="center" vertical="center"/>
    </xf>
    <xf numFmtId="169" fontId="0" fillId="4" borderId="48" xfId="0" applyNumberFormat="1" applyFill="1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/>
    </xf>
    <xf numFmtId="0" fontId="2" fillId="7" borderId="31" xfId="0" applyFont="1" applyFill="1" applyBorder="1" applyAlignment="1">
      <alignment horizontal="center" vertical="center"/>
    </xf>
    <xf numFmtId="0" fontId="2" fillId="7" borderId="65" xfId="0" applyFont="1" applyFill="1" applyBorder="1" applyAlignment="1">
      <alignment horizontal="center" vertical="center"/>
    </xf>
    <xf numFmtId="17" fontId="2" fillId="2" borderId="50" xfId="0" applyNumberFormat="1" applyFont="1" applyFill="1" applyBorder="1" applyAlignment="1">
      <alignment horizontal="center" vertical="center"/>
    </xf>
    <xf numFmtId="17" fontId="2" fillId="2" borderId="63" xfId="0" applyNumberFormat="1" applyFont="1" applyFill="1" applyBorder="1" applyAlignment="1">
      <alignment horizontal="center" vertical="center"/>
    </xf>
    <xf numFmtId="164" fontId="2" fillId="2" borderId="47" xfId="1" applyNumberFormat="1" applyFont="1" applyFill="1" applyBorder="1" applyAlignment="1">
      <alignment horizontal="center" vertical="center"/>
    </xf>
    <xf numFmtId="164" fontId="2" fillId="2" borderId="48" xfId="1" applyNumberFormat="1" applyFont="1" applyFill="1" applyBorder="1" applyAlignment="1">
      <alignment horizontal="center" vertical="center"/>
    </xf>
    <xf numFmtId="164" fontId="2" fillId="2" borderId="49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7" borderId="47" xfId="0" applyFont="1" applyFill="1" applyBorder="1" applyAlignment="1">
      <alignment horizontal="center" vertical="center" wrapText="1"/>
    </xf>
    <xf numFmtId="44" fontId="12" fillId="3" borderId="45" xfId="1" applyFont="1" applyFill="1" applyBorder="1" applyAlignment="1">
      <alignment horizontal="center" vertical="center"/>
    </xf>
    <xf numFmtId="44" fontId="12" fillId="3" borderId="47" xfId="1" applyFont="1" applyFill="1" applyBorder="1" applyAlignment="1">
      <alignment horizontal="center" vertical="center"/>
    </xf>
    <xf numFmtId="0" fontId="32" fillId="8" borderId="63" xfId="0" applyFont="1" applyFill="1" applyBorder="1" applyAlignment="1">
      <alignment horizontal="center" vertical="center" wrapText="1"/>
    </xf>
    <xf numFmtId="0" fontId="2" fillId="8" borderId="63" xfId="0" applyFont="1" applyFill="1" applyBorder="1" applyAlignment="1">
      <alignment horizontal="center" vertical="center" wrapText="1"/>
    </xf>
    <xf numFmtId="0" fontId="0" fillId="8" borderId="63" xfId="0" applyFill="1" applyBorder="1" applyAlignment="1">
      <alignment horizontal="center" vertical="center" wrapText="1"/>
    </xf>
    <xf numFmtId="0" fontId="32" fillId="8" borderId="50" xfId="0" applyFont="1" applyFill="1" applyBorder="1" applyAlignment="1">
      <alignment horizontal="center" vertical="center" wrapText="1"/>
    </xf>
    <xf numFmtId="169" fontId="34" fillId="4" borderId="63" xfId="0" applyNumberFormat="1" applyFont="1" applyFill="1" applyBorder="1" applyAlignment="1">
      <alignment horizontal="center" vertical="center"/>
    </xf>
    <xf numFmtId="169" fontId="34" fillId="4" borderId="48" xfId="0" applyNumberFormat="1" applyFont="1" applyFill="1" applyBorder="1" applyAlignment="1">
      <alignment horizontal="center" vertical="center"/>
    </xf>
    <xf numFmtId="164" fontId="34" fillId="0" borderId="48" xfId="0" applyNumberFormat="1" applyFont="1" applyBorder="1" applyAlignment="1">
      <alignment horizontal="center" vertical="center"/>
    </xf>
    <xf numFmtId="164" fontId="34" fillId="0" borderId="63" xfId="0" applyNumberFormat="1" applyFont="1" applyBorder="1" applyAlignment="1">
      <alignment horizontal="center" vertical="center"/>
    </xf>
    <xf numFmtId="0" fontId="32" fillId="5" borderId="5" xfId="0" applyFont="1" applyFill="1" applyBorder="1" applyAlignment="1">
      <alignment horizontal="center" vertical="center" wrapText="1"/>
    </xf>
    <xf numFmtId="169" fontId="33" fillId="4" borderId="21" xfId="0" applyNumberFormat="1" applyFont="1" applyFill="1" applyBorder="1" applyAlignment="1">
      <alignment horizontal="center" vertical="center"/>
    </xf>
    <xf numFmtId="169" fontId="33" fillId="4" borderId="27" xfId="0" applyNumberFormat="1" applyFont="1" applyFill="1" applyBorder="1" applyAlignment="1">
      <alignment horizontal="center" vertical="center"/>
    </xf>
    <xf numFmtId="169" fontId="32" fillId="4" borderId="5" xfId="0" applyNumberFormat="1" applyFont="1" applyFill="1" applyBorder="1" applyAlignment="1">
      <alignment horizontal="center" vertical="center"/>
    </xf>
    <xf numFmtId="169" fontId="0" fillId="4" borderId="21" xfId="0" applyNumberFormat="1" applyFill="1" applyBorder="1" applyAlignment="1">
      <alignment horizontal="center" vertical="center"/>
    </xf>
    <xf numFmtId="169" fontId="0" fillId="4" borderId="27" xfId="0" applyNumberFormat="1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169" fontId="32" fillId="4" borderId="21" xfId="0" applyNumberFormat="1" applyFont="1" applyFill="1" applyBorder="1" applyAlignment="1">
      <alignment horizontal="center" vertical="center"/>
    </xf>
    <xf numFmtId="0" fontId="32" fillId="8" borderId="21" xfId="0" applyFont="1" applyFill="1" applyBorder="1" applyAlignment="1">
      <alignment horizontal="center" vertical="center" wrapText="1"/>
    </xf>
    <xf numFmtId="169" fontId="32" fillId="0" borderId="21" xfId="0" applyNumberFormat="1" applyFont="1" applyBorder="1" applyAlignment="1">
      <alignment horizontal="center" vertical="center"/>
    </xf>
    <xf numFmtId="169" fontId="32" fillId="0" borderId="27" xfId="0" applyNumberFormat="1" applyFont="1" applyBorder="1" applyAlignment="1">
      <alignment horizontal="center" vertical="center"/>
    </xf>
    <xf numFmtId="164" fontId="32" fillId="0" borderId="5" xfId="0" applyNumberFormat="1" applyFont="1" applyBorder="1" applyAlignment="1">
      <alignment horizontal="center" vertical="center"/>
    </xf>
    <xf numFmtId="164" fontId="34" fillId="0" borderId="33" xfId="0" applyNumberFormat="1" applyFont="1" applyBorder="1" applyAlignment="1">
      <alignment horizontal="center" vertical="center"/>
    </xf>
    <xf numFmtId="164" fontId="34" fillId="0" borderId="72" xfId="0" applyNumberFormat="1" applyFont="1" applyBorder="1" applyAlignment="1">
      <alignment horizontal="center" vertical="center"/>
    </xf>
    <xf numFmtId="17" fontId="10" fillId="2" borderId="5" xfId="0" applyNumberFormat="1" applyFont="1" applyFill="1" applyBorder="1" applyAlignment="1">
      <alignment horizontal="center" vertical="center" wrapText="1"/>
    </xf>
    <xf numFmtId="170" fontId="0" fillId="2" borderId="21" xfId="0" applyNumberFormat="1" applyFill="1" applyBorder="1" applyAlignment="1">
      <alignment horizontal="center" vertical="center"/>
    </xf>
    <xf numFmtId="169" fontId="34" fillId="4" borderId="21" xfId="0" applyNumberFormat="1" applyFont="1" applyFill="1" applyBorder="1" applyAlignment="1">
      <alignment horizontal="center" vertical="center"/>
    </xf>
    <xf numFmtId="164" fontId="32" fillId="0" borderId="33" xfId="0" applyNumberFormat="1" applyFont="1" applyBorder="1" applyAlignment="1">
      <alignment horizontal="center" vertical="center"/>
    </xf>
    <xf numFmtId="17" fontId="0" fillId="2" borderId="50" xfId="0" applyNumberFormat="1" applyFill="1" applyBorder="1" applyAlignment="1">
      <alignment horizontal="center" vertical="center"/>
    </xf>
    <xf numFmtId="17" fontId="0" fillId="2" borderId="64" xfId="0" applyNumberFormat="1" applyFill="1" applyBorder="1" applyAlignment="1">
      <alignment horizontal="center" vertical="center"/>
    </xf>
    <xf numFmtId="44" fontId="0" fillId="2" borderId="47" xfId="0" applyNumberFormat="1" applyFill="1" applyBorder="1" applyAlignment="1">
      <alignment horizontal="center" vertical="center"/>
    </xf>
    <xf numFmtId="164" fontId="0" fillId="2" borderId="49" xfId="0" applyNumberFormat="1" applyFill="1" applyBorder="1" applyAlignment="1">
      <alignment horizontal="center" vertical="center"/>
    </xf>
    <xf numFmtId="44" fontId="0" fillId="2" borderId="48" xfId="1" applyFont="1" applyFill="1" applyBorder="1" applyAlignment="1">
      <alignment horizontal="center" vertical="center"/>
    </xf>
    <xf numFmtId="164" fontId="0" fillId="2" borderId="48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0" fillId="7" borderId="63" xfId="0" applyFill="1" applyBorder="1"/>
    <xf numFmtId="0" fontId="0" fillId="7" borderId="7" xfId="0" applyFill="1" applyBorder="1"/>
    <xf numFmtId="164" fontId="0" fillId="7" borderId="7" xfId="0" applyNumberFormat="1" applyFill="1" applyBorder="1"/>
    <xf numFmtId="169" fontId="26" fillId="8" borderId="50" xfId="0" applyNumberFormat="1" applyFont="1" applyFill="1" applyBorder="1" applyAlignment="1">
      <alignment horizontal="center" vertical="center"/>
    </xf>
    <xf numFmtId="169" fontId="26" fillId="8" borderId="47" xfId="0" applyNumberFormat="1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 wrapText="1"/>
    </xf>
    <xf numFmtId="17" fontId="0" fillId="2" borderId="63" xfId="0" applyNumberFormat="1" applyFill="1" applyBorder="1" applyAlignment="1">
      <alignment horizontal="center" vertical="center"/>
    </xf>
    <xf numFmtId="169" fontId="34" fillId="5" borderId="63" xfId="0" applyNumberFormat="1" applyFont="1" applyFill="1" applyBorder="1" applyAlignment="1">
      <alignment horizontal="center" vertical="center" wrapText="1"/>
    </xf>
    <xf numFmtId="169" fontId="34" fillId="5" borderId="48" xfId="0" applyNumberFormat="1" applyFont="1" applyFill="1" applyBorder="1" applyAlignment="1">
      <alignment horizontal="center" vertical="center" wrapText="1"/>
    </xf>
    <xf numFmtId="169" fontId="32" fillId="5" borderId="63" xfId="0" applyNumberFormat="1" applyFont="1" applyFill="1" applyBorder="1" applyAlignment="1">
      <alignment horizontal="center" vertical="center" wrapText="1"/>
    </xf>
    <xf numFmtId="169" fontId="32" fillId="5" borderId="48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 wrapText="1"/>
    </xf>
    <xf numFmtId="17" fontId="0" fillId="2" borderId="63" xfId="0" applyNumberFormat="1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32" fillId="4" borderId="31" xfId="0" applyFont="1" applyFill="1" applyBorder="1" applyAlignment="1">
      <alignment horizontal="center" vertical="center" wrapText="1"/>
    </xf>
    <xf numFmtId="169" fontId="2" fillId="5" borderId="63" xfId="0" applyNumberFormat="1" applyFont="1" applyFill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7" fontId="2" fillId="7" borderId="15" xfId="0" applyNumberFormat="1" applyFont="1" applyFill="1" applyBorder="1" applyAlignment="1">
      <alignment horizontal="center" vertical="center"/>
    </xf>
    <xf numFmtId="17" fontId="2" fillId="2" borderId="15" xfId="0" applyNumberFormat="1" applyFont="1" applyFill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44" fontId="3" fillId="9" borderId="14" xfId="1" applyNumberFormat="1" applyFont="1" applyFill="1" applyBorder="1" applyAlignment="1">
      <alignment horizontal="center" vertical="center"/>
    </xf>
    <xf numFmtId="44" fontId="2" fillId="9" borderId="34" xfId="1" applyNumberFormat="1" applyFont="1" applyFill="1" applyBorder="1" applyAlignment="1">
      <alignment horizontal="center" vertical="center"/>
    </xf>
    <xf numFmtId="44" fontId="2" fillId="9" borderId="65" xfId="1" applyNumberFormat="1" applyFont="1" applyFill="1" applyBorder="1" applyAlignment="1">
      <alignment horizontal="center" vertical="center"/>
    </xf>
    <xf numFmtId="44" fontId="2" fillId="7" borderId="30" xfId="1" applyNumberFormat="1" applyFont="1" applyFill="1" applyBorder="1" applyAlignment="1">
      <alignment horizontal="center" vertical="center"/>
    </xf>
    <xf numFmtId="44" fontId="2" fillId="7" borderId="33" xfId="1" applyNumberFormat="1" applyFont="1" applyFill="1" applyBorder="1" applyAlignment="1">
      <alignment horizontal="center" vertical="center"/>
    </xf>
    <xf numFmtId="44" fontId="2" fillId="7" borderId="31" xfId="1" applyNumberFormat="1" applyFont="1" applyFill="1" applyBorder="1" applyAlignment="1">
      <alignment horizontal="center" vertical="center"/>
    </xf>
    <xf numFmtId="44" fontId="2" fillId="7" borderId="35" xfId="1" applyNumberFormat="1" applyFont="1" applyFill="1" applyBorder="1" applyAlignment="1">
      <alignment horizontal="center" vertical="center"/>
    </xf>
    <xf numFmtId="44" fontId="2" fillId="7" borderId="14" xfId="0" applyNumberFormat="1" applyFont="1" applyFill="1" applyBorder="1" applyAlignment="1">
      <alignment horizontal="center" vertical="center"/>
    </xf>
    <xf numFmtId="44" fontId="2" fillId="9" borderId="17" xfId="0" applyNumberFormat="1" applyFont="1" applyFill="1" applyBorder="1" applyAlignment="1">
      <alignment horizontal="center" vertical="center"/>
    </xf>
    <xf numFmtId="44" fontId="2" fillId="9" borderId="14" xfId="0" applyNumberFormat="1" applyFont="1" applyFill="1" applyBorder="1" applyAlignment="1">
      <alignment horizontal="center" vertical="center"/>
    </xf>
    <xf numFmtId="44" fontId="2" fillId="7" borderId="32" xfId="0" applyNumberFormat="1" applyFont="1" applyFill="1" applyBorder="1" applyAlignment="1">
      <alignment horizontal="center" vertical="center"/>
    </xf>
    <xf numFmtId="44" fontId="2" fillId="7" borderId="31" xfId="0" applyNumberFormat="1" applyFont="1" applyFill="1" applyBorder="1" applyAlignment="1">
      <alignment horizontal="center" vertical="center"/>
    </xf>
    <xf numFmtId="44" fontId="2" fillId="7" borderId="33" xfId="0" applyNumberFormat="1" applyFont="1" applyFill="1" applyBorder="1" applyAlignment="1">
      <alignment horizontal="center" vertical="center"/>
    </xf>
    <xf numFmtId="44" fontId="2" fillId="9" borderId="50" xfId="0" applyNumberFormat="1" applyFont="1" applyFill="1" applyBorder="1" applyAlignment="1">
      <alignment horizontal="center" vertical="center"/>
    </xf>
    <xf numFmtId="44" fontId="2" fillId="9" borderId="63" xfId="0" applyNumberFormat="1" applyFont="1" applyFill="1" applyBorder="1" applyAlignment="1">
      <alignment horizontal="center" vertical="center"/>
    </xf>
    <xf numFmtId="44" fontId="30" fillId="9" borderId="63" xfId="0" applyNumberFormat="1" applyFont="1" applyFill="1" applyBorder="1" applyAlignment="1">
      <alignment horizontal="center" vertical="center"/>
    </xf>
    <xf numFmtId="44" fontId="21" fillId="9" borderId="63" xfId="0" applyNumberFormat="1" applyFont="1" applyFill="1" applyBorder="1" applyAlignment="1">
      <alignment horizontal="center" vertical="center"/>
    </xf>
    <xf numFmtId="44" fontId="32" fillId="9" borderId="63" xfId="0" applyNumberFormat="1" applyFont="1" applyFill="1" applyBorder="1" applyAlignment="1">
      <alignment horizontal="center" vertical="center"/>
    </xf>
    <xf numFmtId="44" fontId="2" fillId="9" borderId="21" xfId="0" applyNumberFormat="1" applyFont="1" applyFill="1" applyBorder="1" applyAlignment="1">
      <alignment horizontal="center" vertical="center"/>
    </xf>
    <xf numFmtId="164" fontId="32" fillId="7" borderId="50" xfId="0" applyNumberFormat="1" applyFont="1" applyFill="1" applyBorder="1" applyAlignment="1">
      <alignment horizontal="center" vertical="center"/>
    </xf>
    <xf numFmtId="164" fontId="32" fillId="7" borderId="63" xfId="0" applyNumberFormat="1" applyFont="1" applyFill="1" applyBorder="1" applyAlignment="1">
      <alignment horizontal="center" vertical="center"/>
    </xf>
    <xf numFmtId="164" fontId="34" fillId="7" borderId="63" xfId="0" applyNumberFormat="1" applyFont="1" applyFill="1" applyBorder="1" applyAlignment="1">
      <alignment horizontal="center" vertical="center"/>
    </xf>
    <xf numFmtId="164" fontId="0" fillId="7" borderId="63" xfId="0" applyNumberFormat="1" applyFill="1" applyBorder="1" applyAlignment="1">
      <alignment horizontal="center" vertical="center"/>
    </xf>
    <xf numFmtId="44" fontId="32" fillId="7" borderId="63" xfId="0" applyNumberFormat="1" applyFont="1" applyFill="1" applyBorder="1" applyAlignment="1">
      <alignment horizontal="center" vertical="center"/>
    </xf>
    <xf numFmtId="44" fontId="32" fillId="7" borderId="21" xfId="0" applyNumberFormat="1" applyFont="1" applyFill="1" applyBorder="1" applyAlignment="1">
      <alignment horizontal="center" vertical="center"/>
    </xf>
    <xf numFmtId="2" fontId="0" fillId="5" borderId="63" xfId="3" applyNumberFormat="1" applyFont="1" applyFill="1" applyBorder="1" applyAlignment="1">
      <alignment horizontal="center" vertical="center"/>
    </xf>
    <xf numFmtId="44" fontId="32" fillId="5" borderId="63" xfId="0" applyNumberFormat="1" applyFont="1" applyFill="1" applyBorder="1" applyAlignment="1">
      <alignment horizontal="center" vertical="center"/>
    </xf>
    <xf numFmtId="44" fontId="0" fillId="5" borderId="63" xfId="0" applyNumberFormat="1" applyFill="1" applyBorder="1" applyAlignment="1">
      <alignment horizontal="center" vertical="center"/>
    </xf>
    <xf numFmtId="44" fontId="3" fillId="9" borderId="22" xfId="1" applyNumberFormat="1" applyFont="1" applyFill="1" applyBorder="1" applyAlignment="1">
      <alignment horizontal="center" vertical="center"/>
    </xf>
    <xf numFmtId="44" fontId="2" fillId="9" borderId="7" xfId="1" applyNumberFormat="1" applyFont="1" applyFill="1" applyBorder="1" applyAlignment="1">
      <alignment horizontal="center" vertical="center"/>
    </xf>
    <xf numFmtId="44" fontId="2" fillId="9" borderId="46" xfId="1" applyNumberFormat="1" applyFont="1" applyFill="1" applyBorder="1" applyAlignment="1">
      <alignment horizontal="center" vertical="center"/>
    </xf>
    <xf numFmtId="44" fontId="2" fillId="7" borderId="25" xfId="1" applyNumberFormat="1" applyFont="1" applyFill="1" applyBorder="1" applyAlignment="1">
      <alignment horizontal="center" vertical="center"/>
    </xf>
    <xf numFmtId="44" fontId="2" fillId="7" borderId="5" xfId="1" applyNumberFormat="1" applyFont="1" applyFill="1" applyBorder="1" applyAlignment="1">
      <alignment horizontal="center" vertical="center"/>
    </xf>
    <xf numFmtId="44" fontId="2" fillId="7" borderId="63" xfId="1" applyNumberFormat="1" applyFont="1" applyFill="1" applyBorder="1" applyAlignment="1">
      <alignment horizontal="center" vertical="center"/>
    </xf>
    <xf numFmtId="44" fontId="2" fillId="7" borderId="6" xfId="1" applyNumberFormat="1" applyFont="1" applyFill="1" applyBorder="1" applyAlignment="1">
      <alignment horizontal="center" vertical="center"/>
    </xf>
    <xf numFmtId="44" fontId="2" fillId="7" borderId="22" xfId="0" applyNumberFormat="1" applyFont="1" applyFill="1" applyBorder="1" applyAlignment="1">
      <alignment horizontal="center" vertical="center"/>
    </xf>
    <xf numFmtId="44" fontId="2" fillId="9" borderId="8" xfId="0" applyNumberFormat="1" applyFont="1" applyFill="1" applyBorder="1" applyAlignment="1">
      <alignment horizontal="center" vertical="center"/>
    </xf>
    <xf numFmtId="44" fontId="2" fillId="9" borderId="22" xfId="0" applyNumberFormat="1" applyFont="1" applyFill="1" applyBorder="1" applyAlignment="1">
      <alignment horizontal="center" vertical="center"/>
    </xf>
    <xf numFmtId="44" fontId="2" fillId="7" borderId="50" xfId="0" applyNumberFormat="1" applyFont="1" applyFill="1" applyBorder="1" applyAlignment="1">
      <alignment horizontal="center" vertical="center"/>
    </xf>
    <xf numFmtId="44" fontId="2" fillId="7" borderId="63" xfId="0" applyNumberFormat="1" applyFont="1" applyFill="1" applyBorder="1" applyAlignment="1">
      <alignment horizontal="center" vertical="center"/>
    </xf>
    <xf numFmtId="44" fontId="2" fillId="7" borderId="21" xfId="0" applyNumberFormat="1" applyFont="1" applyFill="1" applyBorder="1" applyAlignment="1">
      <alignment horizontal="center" vertical="center"/>
    </xf>
    <xf numFmtId="44" fontId="32" fillId="7" borderId="63" xfId="0" applyNumberFormat="1" applyFont="1" applyFill="1" applyBorder="1" applyAlignment="1">
      <alignment horizontal="center" vertical="center" wrapText="1"/>
    </xf>
    <xf numFmtId="44" fontId="3" fillId="9" borderId="39" xfId="1" applyNumberFormat="1" applyFont="1" applyFill="1" applyBorder="1" applyAlignment="1">
      <alignment horizontal="center" vertical="center"/>
    </xf>
    <xf numFmtId="44" fontId="2" fillId="9" borderId="41" xfId="1" applyNumberFormat="1" applyFont="1" applyFill="1" applyBorder="1" applyAlignment="1">
      <alignment horizontal="center" vertical="center"/>
    </xf>
    <xf numFmtId="44" fontId="2" fillId="9" borderId="66" xfId="1" applyNumberFormat="1" applyFont="1" applyFill="1" applyBorder="1" applyAlignment="1">
      <alignment horizontal="center" vertical="center"/>
    </xf>
    <xf numFmtId="44" fontId="2" fillId="7" borderId="19" xfId="1" applyNumberFormat="1" applyFont="1" applyFill="1" applyBorder="1" applyAlignment="1">
      <alignment horizontal="center" vertical="center"/>
    </xf>
    <xf numFmtId="44" fontId="2" fillId="7" borderId="43" xfId="1" applyNumberFormat="1" applyFont="1" applyFill="1" applyBorder="1" applyAlignment="1">
      <alignment horizontal="center" vertical="center"/>
    </xf>
    <xf numFmtId="44" fontId="2" fillId="7" borderId="62" xfId="1" applyNumberFormat="1" applyFont="1" applyFill="1" applyBorder="1" applyAlignment="1">
      <alignment horizontal="center" vertical="center"/>
    </xf>
    <xf numFmtId="44" fontId="2" fillId="7" borderId="9" xfId="1" applyNumberFormat="1" applyFont="1" applyFill="1" applyBorder="1" applyAlignment="1">
      <alignment horizontal="center" vertical="center"/>
    </xf>
    <xf numFmtId="44" fontId="2" fillId="7" borderId="39" xfId="0" applyNumberFormat="1" applyFont="1" applyFill="1" applyBorder="1" applyAlignment="1">
      <alignment horizontal="center" vertical="center"/>
    </xf>
    <xf numFmtId="44" fontId="2" fillId="9" borderId="19" xfId="0" applyNumberFormat="1" applyFont="1" applyFill="1" applyBorder="1" applyAlignment="1">
      <alignment horizontal="center" vertical="center"/>
    </xf>
    <xf numFmtId="44" fontId="2" fillId="9" borderId="39" xfId="0" applyNumberFormat="1" applyFont="1" applyFill="1" applyBorder="1" applyAlignment="1">
      <alignment horizontal="center" vertical="center"/>
    </xf>
    <xf numFmtId="44" fontId="2" fillId="7" borderId="71" xfId="0" applyNumberFormat="1" applyFont="1" applyFill="1" applyBorder="1" applyAlignment="1">
      <alignment horizontal="center" vertical="center"/>
    </xf>
    <xf numFmtId="44" fontId="2" fillId="7" borderId="62" xfId="0" applyNumberFormat="1" applyFont="1" applyFill="1" applyBorder="1" applyAlignment="1">
      <alignment horizontal="center" vertical="center"/>
    </xf>
    <xf numFmtId="44" fontId="2" fillId="7" borderId="40" xfId="0" applyNumberFormat="1" applyFont="1" applyFill="1" applyBorder="1" applyAlignment="1">
      <alignment horizontal="center" vertical="center"/>
    </xf>
    <xf numFmtId="0" fontId="9" fillId="7" borderId="28" xfId="0" applyFont="1" applyFill="1" applyBorder="1" applyAlignment="1">
      <alignment horizontal="center" vertical="center"/>
    </xf>
    <xf numFmtId="44" fontId="3" fillId="9" borderId="71" xfId="1" applyNumberFormat="1" applyFont="1" applyFill="1" applyBorder="1" applyAlignment="1">
      <alignment horizontal="center" vertical="center"/>
    </xf>
    <xf numFmtId="44" fontId="2" fillId="9" borderId="62" xfId="1" applyNumberFormat="1" applyFont="1" applyFill="1" applyBorder="1" applyAlignment="1">
      <alignment horizontal="center" vertical="center"/>
    </xf>
    <xf numFmtId="44" fontId="2" fillId="9" borderId="51" xfId="1" applyNumberFormat="1" applyFont="1" applyFill="1" applyBorder="1" applyAlignment="1">
      <alignment horizontal="center" vertical="center"/>
    </xf>
    <xf numFmtId="44" fontId="2" fillId="7" borderId="71" xfId="1" applyNumberFormat="1" applyFont="1" applyFill="1" applyBorder="1" applyAlignment="1">
      <alignment horizontal="center" vertical="center"/>
    </xf>
    <xf numFmtId="44" fontId="2" fillId="7" borderId="51" xfId="0" applyNumberFormat="1" applyFont="1" applyFill="1" applyBorder="1" applyAlignment="1">
      <alignment horizontal="center" vertical="center"/>
    </xf>
    <xf numFmtId="44" fontId="2" fillId="9" borderId="71" xfId="0" applyNumberFormat="1" applyFont="1" applyFill="1" applyBorder="1" applyAlignment="1">
      <alignment horizontal="center" vertical="center"/>
    </xf>
    <xf numFmtId="44" fontId="2" fillId="9" borderId="51" xfId="0" applyNumberFormat="1" applyFont="1" applyFill="1" applyBorder="1" applyAlignment="1">
      <alignment horizontal="center" vertical="center"/>
    </xf>
    <xf numFmtId="44" fontId="2" fillId="9" borderId="62" xfId="0" applyNumberFormat="1" applyFont="1" applyFill="1" applyBorder="1" applyAlignment="1">
      <alignment horizontal="center" vertical="center"/>
    </xf>
    <xf numFmtId="44" fontId="30" fillId="9" borderId="62" xfId="0" applyNumberFormat="1" applyFont="1" applyFill="1" applyBorder="1" applyAlignment="1">
      <alignment horizontal="center" vertical="center"/>
    </xf>
    <xf numFmtId="44" fontId="21" fillId="9" borderId="62" xfId="0" applyNumberFormat="1" applyFont="1" applyFill="1" applyBorder="1" applyAlignment="1">
      <alignment horizontal="center" vertical="center"/>
    </xf>
    <xf numFmtId="44" fontId="32" fillId="9" borderId="62" xfId="0" applyNumberFormat="1" applyFont="1" applyFill="1" applyBorder="1" applyAlignment="1">
      <alignment horizontal="center" vertical="center"/>
    </xf>
    <xf numFmtId="44" fontId="2" fillId="9" borderId="40" xfId="0" applyNumberFormat="1" applyFont="1" applyFill="1" applyBorder="1" applyAlignment="1">
      <alignment horizontal="center" vertical="center"/>
    </xf>
    <xf numFmtId="164" fontId="32" fillId="7" borderId="47" xfId="0" applyNumberFormat="1" applyFont="1" applyFill="1" applyBorder="1" applyAlignment="1">
      <alignment horizontal="center" vertical="center"/>
    </xf>
    <xf numFmtId="164" fontId="32" fillId="7" borderId="48" xfId="0" applyNumberFormat="1" applyFont="1" applyFill="1" applyBorder="1" applyAlignment="1">
      <alignment horizontal="center" vertical="center"/>
    </xf>
    <xf numFmtId="164" fontId="34" fillId="7" borderId="48" xfId="0" applyNumberFormat="1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0" fillId="7" borderId="52" xfId="0" applyFont="1" applyFill="1" applyBorder="1" applyAlignment="1">
      <alignment horizontal="center" vertical="center"/>
    </xf>
    <xf numFmtId="164" fontId="1" fillId="9" borderId="52" xfId="1" applyNumberFormat="1" applyFont="1" applyFill="1" applyBorder="1" applyAlignment="1">
      <alignment horizontal="center" vertical="center"/>
    </xf>
    <xf numFmtId="44" fontId="0" fillId="9" borderId="31" xfId="0" applyNumberFormat="1" applyFont="1" applyFill="1" applyBorder="1" applyAlignment="1">
      <alignment horizontal="center" vertical="center"/>
    </xf>
    <xf numFmtId="164" fontId="1" fillId="9" borderId="65" xfId="1" applyNumberFormat="1" applyFont="1" applyFill="1" applyBorder="1" applyAlignment="1">
      <alignment horizontal="center" vertical="center"/>
    </xf>
    <xf numFmtId="44" fontId="1" fillId="7" borderId="50" xfId="1" applyNumberFormat="1" applyFont="1" applyFill="1" applyBorder="1" applyAlignment="1">
      <alignment horizontal="center" vertical="center"/>
    </xf>
    <xf numFmtId="44" fontId="1" fillId="7" borderId="63" xfId="1" applyNumberFormat="1" applyFont="1" applyFill="1" applyBorder="1" applyAlignment="1">
      <alignment horizontal="center" vertical="center"/>
    </xf>
    <xf numFmtId="44" fontId="1" fillId="7" borderId="21" xfId="1" applyNumberFormat="1" applyFont="1" applyFill="1" applyBorder="1" applyAlignment="1">
      <alignment horizontal="center" vertical="center"/>
    </xf>
    <xf numFmtId="44" fontId="1" fillId="7" borderId="1" xfId="1" applyNumberFormat="1" applyFont="1" applyFill="1" applyBorder="1" applyAlignment="1">
      <alignment horizontal="center" vertical="center"/>
    </xf>
    <xf numFmtId="44" fontId="1" fillId="7" borderId="11" xfId="1" applyNumberFormat="1" applyFont="1" applyFill="1" applyBorder="1" applyAlignment="1">
      <alignment horizontal="center" vertical="center"/>
    </xf>
    <xf numFmtId="44" fontId="1" fillId="9" borderId="8" xfId="1" applyNumberFormat="1" applyFont="1" applyFill="1" applyBorder="1" applyAlignment="1">
      <alignment horizontal="center" vertical="center"/>
    </xf>
    <xf numFmtId="44" fontId="0" fillId="9" borderId="22" xfId="0" applyNumberFormat="1" applyFont="1" applyFill="1" applyBorder="1" applyAlignment="1">
      <alignment horizontal="center" vertical="center"/>
    </xf>
    <xf numFmtId="44" fontId="0" fillId="7" borderId="50" xfId="0" applyNumberFormat="1" applyFont="1" applyFill="1" applyBorder="1" applyAlignment="1">
      <alignment horizontal="center" vertical="center"/>
    </xf>
    <xf numFmtId="44" fontId="0" fillId="7" borderId="63" xfId="0" applyNumberFormat="1" applyFont="1" applyFill="1" applyBorder="1" applyAlignment="1">
      <alignment horizontal="center" vertical="center"/>
    </xf>
    <xf numFmtId="44" fontId="0" fillId="7" borderId="21" xfId="0" applyNumberFormat="1" applyFont="1" applyFill="1" applyBorder="1" applyAlignment="1">
      <alignment horizontal="center" vertical="center"/>
    </xf>
    <xf numFmtId="44" fontId="2" fillId="9" borderId="32" xfId="0" applyNumberFormat="1" applyFont="1" applyFill="1" applyBorder="1" applyAlignment="1">
      <alignment horizontal="center" vertical="center"/>
    </xf>
    <xf numFmtId="44" fontId="2" fillId="9" borderId="31" xfId="0" applyNumberFormat="1" applyFont="1" applyFill="1" applyBorder="1" applyAlignment="1">
      <alignment horizontal="center" vertical="center"/>
    </xf>
    <xf numFmtId="44" fontId="21" fillId="9" borderId="31" xfId="1" applyNumberFormat="1" applyFont="1" applyFill="1" applyBorder="1" applyAlignment="1">
      <alignment horizontal="center" vertical="center"/>
    </xf>
    <xf numFmtId="44" fontId="2" fillId="9" borderId="33" xfId="1" applyNumberFormat="1" applyFont="1" applyFill="1" applyBorder="1" applyAlignment="1">
      <alignment horizontal="center" vertical="center"/>
    </xf>
    <xf numFmtId="44" fontId="32" fillId="9" borderId="33" xfId="0" applyNumberFormat="1" applyFont="1" applyFill="1" applyBorder="1" applyAlignment="1">
      <alignment horizontal="center" vertical="center"/>
    </xf>
    <xf numFmtId="44" fontId="2" fillId="9" borderId="33" xfId="0" applyNumberFormat="1" applyFont="1" applyFill="1" applyBorder="1" applyAlignment="1">
      <alignment horizontal="center" vertical="center"/>
    </xf>
    <xf numFmtId="164" fontId="32" fillId="7" borderId="32" xfId="0" applyNumberFormat="1" applyFont="1" applyFill="1" applyBorder="1" applyAlignment="1">
      <alignment horizontal="center" vertical="center"/>
    </xf>
    <xf numFmtId="164" fontId="32" fillId="7" borderId="31" xfId="0" applyNumberFormat="1" applyFont="1" applyFill="1" applyBorder="1" applyAlignment="1">
      <alignment horizontal="center" vertical="center"/>
    </xf>
    <xf numFmtId="164" fontId="0" fillId="7" borderId="31" xfId="0" applyNumberFormat="1" applyFill="1" applyBorder="1" applyAlignment="1">
      <alignment horizontal="center" vertical="center"/>
    </xf>
    <xf numFmtId="44" fontId="32" fillId="7" borderId="31" xfId="0" applyNumberFormat="1" applyFont="1" applyFill="1" applyBorder="1" applyAlignment="1">
      <alignment horizontal="center" vertical="center"/>
    </xf>
    <xf numFmtId="44" fontId="32" fillId="7" borderId="33" xfId="0" applyNumberFormat="1" applyFont="1" applyFill="1" applyBorder="1" applyAlignment="1">
      <alignment horizontal="center" vertical="center"/>
    </xf>
    <xf numFmtId="44" fontId="21" fillId="9" borderId="63" xfId="1" applyNumberFormat="1" applyFont="1" applyFill="1" applyBorder="1" applyAlignment="1">
      <alignment horizontal="center" vertical="center"/>
    </xf>
    <xf numFmtId="44" fontId="2" fillId="9" borderId="21" xfId="1" applyNumberFormat="1" applyFont="1" applyFill="1" applyBorder="1" applyAlignment="1">
      <alignment horizontal="center" vertical="center"/>
    </xf>
    <xf numFmtId="0" fontId="0" fillId="7" borderId="38" xfId="0" applyFont="1" applyFill="1" applyBorder="1" applyAlignment="1">
      <alignment horizontal="center" vertical="center"/>
    </xf>
    <xf numFmtId="164" fontId="1" fillId="9" borderId="38" xfId="1" applyNumberFormat="1" applyFont="1" applyFill="1" applyBorder="1" applyAlignment="1">
      <alignment horizontal="center" vertical="center"/>
    </xf>
    <xf numFmtId="44" fontId="1" fillId="7" borderId="71" xfId="1" applyNumberFormat="1" applyFont="1" applyFill="1" applyBorder="1" applyAlignment="1">
      <alignment horizontal="center" vertical="center"/>
    </xf>
    <xf numFmtId="44" fontId="1" fillId="7" borderId="62" xfId="1" applyNumberFormat="1" applyFont="1" applyFill="1" applyBorder="1" applyAlignment="1">
      <alignment horizontal="center" vertical="center"/>
    </xf>
    <xf numFmtId="44" fontId="1" fillId="7" borderId="40" xfId="1" applyNumberFormat="1" applyFont="1" applyFill="1" applyBorder="1" applyAlignment="1">
      <alignment horizontal="center" vertical="center"/>
    </xf>
    <xf numFmtId="44" fontId="1" fillId="7" borderId="3" xfId="1" applyNumberFormat="1" applyFont="1" applyFill="1" applyBorder="1" applyAlignment="1">
      <alignment horizontal="center" vertical="center"/>
    </xf>
    <xf numFmtId="44" fontId="1" fillId="7" borderId="12" xfId="1" applyNumberFormat="1" applyFont="1" applyFill="1" applyBorder="1" applyAlignment="1">
      <alignment horizontal="center" vertical="center"/>
    </xf>
    <xf numFmtId="44" fontId="0" fillId="9" borderId="23" xfId="0" applyNumberFormat="1" applyFont="1" applyFill="1" applyBorder="1" applyAlignment="1">
      <alignment horizontal="center" vertical="center"/>
    </xf>
    <xf numFmtId="44" fontId="0" fillId="7" borderId="71" xfId="0" applyNumberFormat="1" applyFont="1" applyFill="1" applyBorder="1" applyAlignment="1">
      <alignment horizontal="center" vertical="center"/>
    </xf>
    <xf numFmtId="44" fontId="0" fillId="7" borderId="62" xfId="0" applyNumberFormat="1" applyFont="1" applyFill="1" applyBorder="1" applyAlignment="1">
      <alignment horizontal="center" vertical="center"/>
    </xf>
    <xf numFmtId="44" fontId="0" fillId="7" borderId="40" xfId="0" applyNumberFormat="1" applyFont="1" applyFill="1" applyBorder="1" applyAlignment="1">
      <alignment horizontal="center" vertical="center"/>
    </xf>
    <xf numFmtId="44" fontId="2" fillId="9" borderId="47" xfId="0" applyNumberFormat="1" applyFont="1" applyFill="1" applyBorder="1" applyAlignment="1">
      <alignment horizontal="center" vertical="center"/>
    </xf>
    <xf numFmtId="44" fontId="2" fillId="9" borderId="48" xfId="0" applyNumberFormat="1" applyFont="1" applyFill="1" applyBorder="1" applyAlignment="1">
      <alignment horizontal="center" vertical="center"/>
    </xf>
    <xf numFmtId="44" fontId="21" fillId="9" borderId="48" xfId="1" applyNumberFormat="1" applyFont="1" applyFill="1" applyBorder="1" applyAlignment="1">
      <alignment horizontal="center" vertical="center"/>
    </xf>
    <xf numFmtId="44" fontId="2" fillId="9" borderId="27" xfId="1" applyNumberFormat="1" applyFont="1" applyFill="1" applyBorder="1" applyAlignment="1">
      <alignment horizontal="center" vertical="center"/>
    </xf>
    <xf numFmtId="44" fontId="21" fillId="9" borderId="16" xfId="1" applyNumberFormat="1" applyFont="1" applyFill="1" applyBorder="1" applyAlignment="1">
      <alignment horizontal="center" vertical="center"/>
    </xf>
    <xf numFmtId="44" fontId="32" fillId="9" borderId="72" xfId="0" applyNumberFormat="1" applyFont="1" applyFill="1" applyBorder="1" applyAlignment="1">
      <alignment horizontal="center" vertical="center"/>
    </xf>
    <xf numFmtId="164" fontId="32" fillId="7" borderId="71" xfId="0" applyNumberFormat="1" applyFont="1" applyFill="1" applyBorder="1" applyAlignment="1">
      <alignment horizontal="center" vertical="center"/>
    </xf>
    <xf numFmtId="164" fontId="32" fillId="7" borderId="62" xfId="0" applyNumberFormat="1" applyFont="1" applyFill="1" applyBorder="1" applyAlignment="1">
      <alignment horizontal="center" vertical="center"/>
    </xf>
    <xf numFmtId="164" fontId="0" fillId="7" borderId="62" xfId="0" applyNumberFormat="1" applyFill="1" applyBorder="1" applyAlignment="1">
      <alignment horizontal="center" vertical="center"/>
    </xf>
    <xf numFmtId="164" fontId="1" fillId="7" borderId="52" xfId="1" applyNumberFormat="1" applyFont="1" applyFill="1" applyBorder="1" applyAlignment="1">
      <alignment horizontal="center" vertical="center"/>
    </xf>
    <xf numFmtId="164" fontId="1" fillId="9" borderId="45" xfId="1" applyNumberFormat="1" applyFont="1" applyFill="1" applyBorder="1" applyAlignment="1">
      <alignment horizontal="center" vertical="center"/>
    </xf>
    <xf numFmtId="164" fontId="1" fillId="9" borderId="2" xfId="1" applyNumberFormat="1" applyFont="1" applyFill="1" applyBorder="1" applyAlignment="1">
      <alignment horizontal="center" vertical="center"/>
    </xf>
    <xf numFmtId="164" fontId="32" fillId="9" borderId="2" xfId="1" applyNumberFormat="1" applyFont="1" applyFill="1" applyBorder="1" applyAlignment="1">
      <alignment horizontal="center" vertical="center"/>
    </xf>
    <xf numFmtId="164" fontId="1" fillId="9" borderId="5" xfId="1" applyNumberFormat="1" applyFont="1" applyFill="1" applyBorder="1" applyAlignment="1">
      <alignment horizontal="center" vertical="center"/>
    </xf>
    <xf numFmtId="164" fontId="1" fillId="9" borderId="50" xfId="1" applyNumberFormat="1" applyFont="1" applyFill="1" applyBorder="1" applyAlignment="1">
      <alignment horizontal="center" vertical="center"/>
    </xf>
    <xf numFmtId="164" fontId="1" fillId="9" borderId="63" xfId="1" applyNumberFormat="1" applyFont="1" applyFill="1" applyBorder="1" applyAlignment="1">
      <alignment horizontal="center" vertical="center"/>
    </xf>
    <xf numFmtId="164" fontId="32" fillId="9" borderId="63" xfId="1" applyNumberFormat="1" applyFont="1" applyFill="1" applyBorder="1" applyAlignment="1">
      <alignment horizontal="center" vertical="center"/>
    </xf>
    <xf numFmtId="164" fontId="1" fillId="9" borderId="21" xfId="1" applyNumberFormat="1" applyFont="1" applyFill="1" applyBorder="1" applyAlignment="1">
      <alignment horizontal="center" vertical="center"/>
    </xf>
    <xf numFmtId="164" fontId="1" fillId="7" borderId="38" xfId="1" applyNumberFormat="1" applyFont="1" applyFill="1" applyBorder="1" applyAlignment="1">
      <alignment horizontal="center" vertical="center"/>
    </xf>
    <xf numFmtId="164" fontId="1" fillId="9" borderId="71" xfId="1" applyNumberFormat="1" applyFont="1" applyFill="1" applyBorder="1" applyAlignment="1">
      <alignment horizontal="center" vertical="center"/>
    </xf>
    <xf numFmtId="164" fontId="1" fillId="9" borderId="62" xfId="1" applyNumberFormat="1" applyFont="1" applyFill="1" applyBorder="1" applyAlignment="1">
      <alignment horizontal="center" vertical="center"/>
    </xf>
    <xf numFmtId="164" fontId="32" fillId="9" borderId="62" xfId="1" applyNumberFormat="1" applyFont="1" applyFill="1" applyBorder="1" applyAlignment="1">
      <alignment horizontal="center" vertical="center"/>
    </xf>
    <xf numFmtId="164" fontId="1" fillId="9" borderId="40" xfId="1" applyNumberFormat="1" applyFont="1" applyFill="1" applyBorder="1" applyAlignment="1">
      <alignment horizontal="center" vertical="center"/>
    </xf>
    <xf numFmtId="164" fontId="0" fillId="7" borderId="48" xfId="0" applyNumberFormat="1" applyFill="1" applyBorder="1" applyAlignment="1">
      <alignment horizontal="center" vertical="center"/>
    </xf>
    <xf numFmtId="164" fontId="3" fillId="9" borderId="32" xfId="1" applyNumberFormat="1" applyFont="1" applyFill="1" applyBorder="1" applyAlignment="1">
      <alignment horizontal="center" vertical="center"/>
    </xf>
    <xf numFmtId="164" fontId="2" fillId="9" borderId="18" xfId="1" applyNumberFormat="1" applyFont="1" applyFill="1" applyBorder="1" applyAlignment="1">
      <alignment horizontal="center" vertical="center"/>
    </xf>
    <xf numFmtId="164" fontId="2" fillId="9" borderId="15" xfId="1" applyNumberFormat="1" applyFont="1" applyFill="1" applyBorder="1" applyAlignment="1">
      <alignment horizontal="center" vertical="center"/>
    </xf>
    <xf numFmtId="164" fontId="2" fillId="7" borderId="15" xfId="1" applyNumberFormat="1" applyFont="1" applyFill="1" applyBorder="1" applyAlignment="1">
      <alignment horizontal="center" vertical="center"/>
    </xf>
    <xf numFmtId="164" fontId="2" fillId="7" borderId="17" xfId="1" applyNumberFormat="1" applyFont="1" applyFill="1" applyBorder="1" applyAlignment="1">
      <alignment horizontal="center" vertical="center"/>
    </xf>
    <xf numFmtId="164" fontId="2" fillId="7" borderId="14" xfId="0" applyNumberFormat="1" applyFont="1" applyFill="1" applyBorder="1" applyAlignment="1">
      <alignment horizontal="center" vertical="center"/>
    </xf>
    <xf numFmtId="164" fontId="2" fillId="9" borderId="4" xfId="0" applyNumberFormat="1" applyFont="1" applyFill="1" applyBorder="1" applyAlignment="1">
      <alignment horizontal="center" vertical="center"/>
    </xf>
    <xf numFmtId="164" fontId="2" fillId="7" borderId="32" xfId="0" applyNumberFormat="1" applyFont="1" applyFill="1" applyBorder="1" applyAlignment="1">
      <alignment horizontal="center" vertical="center"/>
    </xf>
    <xf numFmtId="164" fontId="2" fillId="7" borderId="31" xfId="0" applyNumberFormat="1" applyFont="1" applyFill="1" applyBorder="1" applyAlignment="1">
      <alignment horizontal="center" vertical="center"/>
    </xf>
    <xf numFmtId="44" fontId="30" fillId="9" borderId="31" xfId="1" applyNumberFormat="1" applyFont="1" applyFill="1" applyBorder="1" applyAlignment="1">
      <alignment horizontal="center" vertical="center"/>
    </xf>
    <xf numFmtId="164" fontId="3" fillId="9" borderId="50" xfId="1" applyNumberFormat="1" applyFont="1" applyFill="1" applyBorder="1" applyAlignment="1">
      <alignment horizontal="center" vertical="center"/>
    </xf>
    <xf numFmtId="164" fontId="2" fillId="9" borderId="12" xfId="1" applyNumberFormat="1" applyFont="1" applyFill="1" applyBorder="1" applyAlignment="1">
      <alignment horizontal="center" vertical="center"/>
    </xf>
    <xf numFmtId="164" fontId="2" fillId="7" borderId="1" xfId="1" applyNumberFormat="1" applyFont="1" applyFill="1" applyBorder="1" applyAlignment="1">
      <alignment horizontal="center" vertical="center"/>
    </xf>
    <xf numFmtId="164" fontId="2" fillId="7" borderId="8" xfId="1" applyNumberFormat="1" applyFont="1" applyFill="1" applyBorder="1" applyAlignment="1">
      <alignment horizontal="center" vertical="center"/>
    </xf>
    <xf numFmtId="164" fontId="2" fillId="7" borderId="22" xfId="0" applyNumberFormat="1" applyFont="1" applyFill="1" applyBorder="1" applyAlignment="1">
      <alignment horizontal="center" vertical="center"/>
    </xf>
    <xf numFmtId="164" fontId="2" fillId="9" borderId="22" xfId="0" applyNumberFormat="1" applyFont="1" applyFill="1" applyBorder="1" applyAlignment="1">
      <alignment horizontal="center" vertical="center"/>
    </xf>
    <xf numFmtId="164" fontId="2" fillId="7" borderId="50" xfId="0" applyNumberFormat="1" applyFont="1" applyFill="1" applyBorder="1" applyAlignment="1">
      <alignment horizontal="center" vertical="center"/>
    </xf>
    <xf numFmtId="164" fontId="2" fillId="7" borderId="63" xfId="0" applyNumberFormat="1" applyFont="1" applyFill="1" applyBorder="1" applyAlignment="1">
      <alignment horizontal="center" vertical="center"/>
    </xf>
    <xf numFmtId="164" fontId="3" fillId="9" borderId="71" xfId="1" applyNumberFormat="1" applyFont="1" applyFill="1" applyBorder="1" applyAlignment="1">
      <alignment horizontal="center" vertical="center"/>
    </xf>
    <xf numFmtId="164" fontId="2" fillId="9" borderId="10" xfId="1" applyNumberFormat="1" applyFont="1" applyFill="1" applyBorder="1" applyAlignment="1">
      <alignment horizontal="center" vertical="center"/>
    </xf>
    <xf numFmtId="164" fontId="2" fillId="9" borderId="26" xfId="1" applyNumberFormat="1" applyFont="1" applyFill="1" applyBorder="1" applyAlignment="1">
      <alignment horizontal="center" vertical="center"/>
    </xf>
    <xf numFmtId="164" fontId="2" fillId="7" borderId="26" xfId="1" applyNumberFormat="1" applyFont="1" applyFill="1" applyBorder="1" applyAlignment="1">
      <alignment horizontal="center" vertical="center"/>
    </xf>
    <xf numFmtId="164" fontId="2" fillId="7" borderId="3" xfId="1" applyNumberFormat="1" applyFont="1" applyFill="1" applyBorder="1" applyAlignment="1">
      <alignment horizontal="center" vertical="center"/>
    </xf>
    <xf numFmtId="164" fontId="2" fillId="7" borderId="19" xfId="1" applyNumberFormat="1" applyFont="1" applyFill="1" applyBorder="1" applyAlignment="1">
      <alignment horizontal="center" vertical="center"/>
    </xf>
    <xf numFmtId="164" fontId="2" fillId="7" borderId="39" xfId="0" applyNumberFormat="1" applyFont="1" applyFill="1" applyBorder="1" applyAlignment="1">
      <alignment horizontal="center" vertical="center"/>
    </xf>
    <xf numFmtId="164" fontId="2" fillId="9" borderId="39" xfId="0" applyNumberFormat="1" applyFont="1" applyFill="1" applyBorder="1" applyAlignment="1">
      <alignment horizontal="center" vertical="center"/>
    </xf>
    <xf numFmtId="164" fontId="2" fillId="7" borderId="71" xfId="0" applyNumberFormat="1" applyFont="1" applyFill="1" applyBorder="1" applyAlignment="1">
      <alignment horizontal="center" vertical="center"/>
    </xf>
    <xf numFmtId="164" fontId="2" fillId="7" borderId="62" xfId="0" applyNumberFormat="1" applyFont="1" applyFill="1" applyBorder="1" applyAlignment="1">
      <alignment horizontal="center" vertical="center"/>
    </xf>
    <xf numFmtId="44" fontId="30" fillId="9" borderId="16" xfId="1" applyNumberFormat="1" applyFont="1" applyFill="1" applyBorder="1" applyAlignment="1">
      <alignment horizontal="center" vertical="center"/>
    </xf>
    <xf numFmtId="44" fontId="2" fillId="9" borderId="72" xfId="1" applyNumberFormat="1" applyFont="1" applyFill="1" applyBorder="1" applyAlignment="1">
      <alignment horizontal="center" vertical="center"/>
    </xf>
    <xf numFmtId="164" fontId="2" fillId="9" borderId="34" xfId="1" applyNumberFormat="1" applyFont="1" applyFill="1" applyBorder="1" applyAlignment="1">
      <alignment horizontal="center" vertical="center"/>
    </xf>
    <xf numFmtId="164" fontId="2" fillId="9" borderId="65" xfId="1" applyNumberFormat="1" applyFont="1" applyFill="1" applyBorder="1" applyAlignment="1">
      <alignment horizontal="center" vertical="center"/>
    </xf>
    <xf numFmtId="164" fontId="2" fillId="7" borderId="32" xfId="1" applyNumberFormat="1" applyFont="1" applyFill="1" applyBorder="1" applyAlignment="1">
      <alignment horizontal="center" vertical="center"/>
    </xf>
    <xf numFmtId="164" fontId="2" fillId="7" borderId="31" xfId="1" applyNumberFormat="1" applyFont="1" applyFill="1" applyBorder="1" applyAlignment="1">
      <alignment horizontal="center" vertical="center"/>
    </xf>
    <xf numFmtId="164" fontId="2" fillId="7" borderId="18" xfId="0" applyNumberFormat="1" applyFont="1" applyFill="1" applyBorder="1" applyAlignment="1">
      <alignment horizontal="center" vertical="center"/>
    </xf>
    <xf numFmtId="164" fontId="2" fillId="9" borderId="8" xfId="0" applyNumberFormat="1" applyFont="1" applyFill="1" applyBorder="1" applyAlignment="1">
      <alignment horizontal="center" vertical="center"/>
    </xf>
    <xf numFmtId="44" fontId="30" fillId="9" borderId="31" xfId="0" applyNumberFormat="1" applyFont="1" applyFill="1" applyBorder="1" applyAlignment="1">
      <alignment horizontal="center" vertical="center"/>
    </xf>
    <xf numFmtId="44" fontId="21" fillId="9" borderId="31" xfId="0" applyNumberFormat="1" applyFont="1" applyFill="1" applyBorder="1" applyAlignment="1">
      <alignment horizontal="center" vertical="center"/>
    </xf>
    <xf numFmtId="164" fontId="2" fillId="9" borderId="41" xfId="1" applyNumberFormat="1" applyFont="1" applyFill="1" applyBorder="1" applyAlignment="1">
      <alignment horizontal="center" vertical="center"/>
    </xf>
    <xf numFmtId="164" fontId="2" fillId="9" borderId="51" xfId="1" applyNumberFormat="1" applyFont="1" applyFill="1" applyBorder="1" applyAlignment="1">
      <alignment horizontal="center" vertical="center"/>
    </xf>
    <xf numFmtId="164" fontId="2" fillId="7" borderId="71" xfId="1" applyNumberFormat="1" applyFont="1" applyFill="1" applyBorder="1" applyAlignment="1">
      <alignment horizontal="center" vertical="center"/>
    </xf>
    <xf numFmtId="164" fontId="2" fillId="7" borderId="62" xfId="1" applyNumberFormat="1" applyFont="1" applyFill="1" applyBorder="1" applyAlignment="1">
      <alignment horizontal="center" vertical="center"/>
    </xf>
    <xf numFmtId="164" fontId="2" fillId="7" borderId="10" xfId="0" applyNumberFormat="1" applyFont="1" applyFill="1" applyBorder="1" applyAlignment="1">
      <alignment horizontal="center" vertical="center"/>
    </xf>
    <xf numFmtId="164" fontId="2" fillId="9" borderId="19" xfId="0" applyNumberFormat="1" applyFont="1" applyFill="1" applyBorder="1" applyAlignment="1">
      <alignment horizontal="center" vertical="center"/>
    </xf>
    <xf numFmtId="44" fontId="30" fillId="9" borderId="53" xfId="0" applyNumberFormat="1" applyFont="1" applyFill="1" applyBorder="1" applyAlignment="1">
      <alignment horizontal="center" vertical="center"/>
    </xf>
    <xf numFmtId="44" fontId="2" fillId="9" borderId="73" xfId="0" applyNumberFormat="1" applyFont="1" applyFill="1" applyBorder="1" applyAlignment="1">
      <alignment horizontal="center" vertical="center"/>
    </xf>
    <xf numFmtId="44" fontId="21" fillId="9" borderId="53" xfId="0" applyNumberFormat="1" applyFont="1" applyFill="1" applyBorder="1" applyAlignment="1">
      <alignment horizontal="center" vertical="center"/>
    </xf>
    <xf numFmtId="44" fontId="32" fillId="9" borderId="73" xfId="0" applyNumberFormat="1" applyFont="1" applyFill="1" applyBorder="1" applyAlignment="1">
      <alignment horizontal="center" vertical="center"/>
    </xf>
    <xf numFmtId="164" fontId="32" fillId="7" borderId="53" xfId="0" applyNumberFormat="1" applyFont="1" applyFill="1" applyBorder="1" applyAlignment="1">
      <alignment horizontal="center" vertical="center"/>
    </xf>
    <xf numFmtId="164" fontId="0" fillId="7" borderId="53" xfId="0" applyNumberFormat="1" applyFill="1" applyBorder="1" applyAlignment="1">
      <alignment horizontal="center" vertical="center"/>
    </xf>
    <xf numFmtId="44" fontId="32" fillId="7" borderId="53" xfId="0" applyNumberFormat="1" applyFont="1" applyFill="1" applyBorder="1" applyAlignment="1">
      <alignment horizontal="center" vertical="center"/>
    </xf>
    <xf numFmtId="44" fontId="32" fillId="7" borderId="73" xfId="0" applyNumberFormat="1" applyFont="1" applyFill="1" applyBorder="1" applyAlignment="1">
      <alignment horizontal="center" vertical="center"/>
    </xf>
    <xf numFmtId="164" fontId="3" fillId="9" borderId="48" xfId="1" applyNumberFormat="1" applyFont="1" applyFill="1" applyBorder="1" applyAlignment="1">
      <alignment horizontal="center" vertical="center"/>
    </xf>
    <xf numFmtId="164" fontId="2" fillId="9" borderId="48" xfId="1" applyNumberFormat="1" applyFont="1" applyFill="1" applyBorder="1" applyAlignment="1">
      <alignment horizontal="center" vertical="center"/>
    </xf>
    <xf numFmtId="164" fontId="2" fillId="7" borderId="48" xfId="0" applyNumberFormat="1" applyFont="1" applyFill="1" applyBorder="1" applyAlignment="1">
      <alignment horizontal="center" vertical="center"/>
    </xf>
    <xf numFmtId="164" fontId="2" fillId="9" borderId="48" xfId="0" applyNumberFormat="1" applyFont="1" applyFill="1" applyBorder="1" applyAlignment="1">
      <alignment horizontal="center" vertical="center"/>
    </xf>
    <xf numFmtId="44" fontId="2" fillId="7" borderId="48" xfId="0" applyNumberFormat="1" applyFont="1" applyFill="1" applyBorder="1" applyAlignment="1">
      <alignment horizontal="center" vertical="center"/>
    </xf>
    <xf numFmtId="44" fontId="30" fillId="9" borderId="48" xfId="0" applyNumberFormat="1" applyFont="1" applyFill="1" applyBorder="1" applyAlignment="1">
      <alignment horizontal="center" vertical="center"/>
    </xf>
    <xf numFmtId="44" fontId="21" fillId="9" borderId="48" xfId="0" applyNumberFormat="1" applyFont="1" applyFill="1" applyBorder="1" applyAlignment="1">
      <alignment horizontal="center" vertical="center"/>
    </xf>
    <xf numFmtId="44" fontId="32" fillId="9" borderId="48" xfId="0" applyNumberFormat="1" applyFont="1" applyFill="1" applyBorder="1" applyAlignment="1">
      <alignment horizontal="center" vertical="center"/>
    </xf>
    <xf numFmtId="164" fontId="32" fillId="7" borderId="16" xfId="0" applyNumberFormat="1" applyFont="1" applyFill="1" applyBorder="1" applyAlignment="1">
      <alignment horizontal="center" vertical="center"/>
    </xf>
    <xf numFmtId="164" fontId="0" fillId="7" borderId="16" xfId="0" applyNumberFormat="1" applyFill="1" applyBorder="1" applyAlignment="1">
      <alignment horizontal="center" vertical="center"/>
    </xf>
    <xf numFmtId="44" fontId="32" fillId="7" borderId="16" xfId="0" applyNumberFormat="1" applyFont="1" applyFill="1" applyBorder="1" applyAlignment="1">
      <alignment horizontal="center" vertical="center"/>
    </xf>
    <xf numFmtId="44" fontId="32" fillId="7" borderId="72" xfId="0" applyNumberFormat="1" applyFont="1" applyFill="1" applyBorder="1" applyAlignment="1">
      <alignment horizontal="center" vertical="center"/>
    </xf>
    <xf numFmtId="44" fontId="0" fillId="8" borderId="1" xfId="0" applyNumberForma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164" fontId="2" fillId="9" borderId="32" xfId="1" applyNumberFormat="1" applyFont="1" applyFill="1" applyBorder="1" applyAlignment="1">
      <alignment horizontal="center" vertical="center"/>
    </xf>
    <xf numFmtId="164" fontId="2" fillId="9" borderId="33" xfId="1" applyNumberFormat="1" applyFont="1" applyFill="1" applyBorder="1" applyAlignment="1">
      <alignment horizontal="center" vertical="center"/>
    </xf>
    <xf numFmtId="164" fontId="2" fillId="7" borderId="33" xfId="1" applyNumberFormat="1" applyFont="1" applyFill="1" applyBorder="1" applyAlignment="1">
      <alignment horizontal="center" vertical="center"/>
    </xf>
    <xf numFmtId="164" fontId="2" fillId="7" borderId="65" xfId="0" applyNumberFormat="1" applyFont="1" applyFill="1" applyBorder="1" applyAlignment="1">
      <alignment horizontal="center" vertical="center"/>
    </xf>
    <xf numFmtId="164" fontId="2" fillId="9" borderId="32" xfId="0" applyNumberFormat="1" applyFont="1" applyFill="1" applyBorder="1" applyAlignment="1">
      <alignment horizontal="center" vertical="center"/>
    </xf>
    <xf numFmtId="164" fontId="2" fillId="9" borderId="65" xfId="0" applyNumberFormat="1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64" fontId="2" fillId="9" borderId="50" xfId="1" applyNumberFormat="1" applyFont="1" applyFill="1" applyBorder="1" applyAlignment="1">
      <alignment horizontal="center" vertical="center"/>
    </xf>
    <xf numFmtId="164" fontId="2" fillId="9" borderId="21" xfId="1" applyNumberFormat="1" applyFont="1" applyFill="1" applyBorder="1" applyAlignment="1">
      <alignment horizontal="center" vertical="center"/>
    </xf>
    <xf numFmtId="164" fontId="2" fillId="7" borderId="50" xfId="1" applyNumberFormat="1" applyFont="1" applyFill="1" applyBorder="1" applyAlignment="1">
      <alignment horizontal="center" vertical="center"/>
    </xf>
    <xf numFmtId="164" fontId="2" fillId="7" borderId="21" xfId="1" applyNumberFormat="1" applyFont="1" applyFill="1" applyBorder="1" applyAlignment="1">
      <alignment horizontal="center" vertical="center"/>
    </xf>
    <xf numFmtId="164" fontId="2" fillId="7" borderId="63" xfId="1" applyNumberFormat="1" applyFont="1" applyFill="1" applyBorder="1" applyAlignment="1">
      <alignment horizontal="center" vertical="center"/>
    </xf>
    <xf numFmtId="164" fontId="2" fillId="7" borderId="64" xfId="0" applyNumberFormat="1" applyFont="1" applyFill="1" applyBorder="1" applyAlignment="1">
      <alignment horizontal="center" vertical="center"/>
    </xf>
    <xf numFmtId="164" fontId="2" fillId="9" borderId="50" xfId="0" applyNumberFormat="1" applyFont="1" applyFill="1" applyBorder="1" applyAlignment="1">
      <alignment horizontal="center" vertical="center"/>
    </xf>
    <xf numFmtId="164" fontId="2" fillId="9" borderId="64" xfId="0" applyNumberFormat="1" applyFont="1" applyFill="1" applyBorder="1" applyAlignment="1">
      <alignment horizontal="center" vertical="center"/>
    </xf>
    <xf numFmtId="164" fontId="21" fillId="9" borderId="47" xfId="1" applyNumberFormat="1" applyFont="1" applyFill="1" applyBorder="1" applyAlignment="1">
      <alignment horizontal="center" vertical="center"/>
    </xf>
    <xf numFmtId="164" fontId="21" fillId="9" borderId="27" xfId="1" applyNumberFormat="1" applyFont="1" applyFill="1" applyBorder="1" applyAlignment="1">
      <alignment horizontal="center" vertical="center"/>
    </xf>
    <xf numFmtId="164" fontId="21" fillId="7" borderId="47" xfId="1" applyNumberFormat="1" applyFont="1" applyFill="1" applyBorder="1" applyAlignment="1">
      <alignment horizontal="center" vertical="center"/>
    </xf>
    <xf numFmtId="164" fontId="21" fillId="7" borderId="27" xfId="1" applyNumberFormat="1" applyFont="1" applyFill="1" applyBorder="1" applyAlignment="1">
      <alignment horizontal="center" vertical="center"/>
    </xf>
    <xf numFmtId="164" fontId="21" fillId="7" borderId="48" xfId="1" applyNumberFormat="1" applyFont="1" applyFill="1" applyBorder="1" applyAlignment="1">
      <alignment horizontal="center" vertical="center"/>
    </xf>
    <xf numFmtId="164" fontId="21" fillId="7" borderId="49" xfId="1" applyNumberFormat="1" applyFont="1" applyFill="1" applyBorder="1" applyAlignment="1">
      <alignment horizontal="center" vertical="center"/>
    </xf>
    <xf numFmtId="164" fontId="21" fillId="9" borderId="49" xfId="1" applyNumberFormat="1" applyFont="1" applyFill="1" applyBorder="1" applyAlignment="1">
      <alignment horizontal="center" vertical="center"/>
    </xf>
    <xf numFmtId="164" fontId="21" fillId="9" borderId="48" xfId="1" applyNumberFormat="1" applyFont="1" applyFill="1" applyBorder="1" applyAlignment="1">
      <alignment horizontal="center" vertical="center"/>
    </xf>
    <xf numFmtId="44" fontId="21" fillId="9" borderId="16" xfId="0" applyNumberFormat="1" applyFont="1" applyFill="1" applyBorder="1" applyAlignment="1">
      <alignment horizontal="center" vertical="center"/>
    </xf>
    <xf numFmtId="44" fontId="21" fillId="9" borderId="72" xfId="0" applyNumberFormat="1" applyFont="1" applyFill="1" applyBorder="1" applyAlignment="1">
      <alignment horizontal="center" vertical="center"/>
    </xf>
    <xf numFmtId="44" fontId="2" fillId="9" borderId="72" xfId="0" applyNumberFormat="1" applyFont="1" applyFill="1" applyBorder="1" applyAlignment="1">
      <alignment horizontal="center" vertical="center"/>
    </xf>
    <xf numFmtId="0" fontId="3" fillId="8" borderId="0" xfId="2" applyFont="1" applyFill="1" applyBorder="1" applyAlignment="1">
      <alignment horizontal="center" vertical="center"/>
    </xf>
    <xf numFmtId="6" fontId="3" fillId="7" borderId="58" xfId="2" applyNumberFormat="1" applyFont="1" applyFill="1" applyBorder="1" applyAlignment="1">
      <alignment horizontal="center" vertical="center"/>
    </xf>
    <xf numFmtId="6" fontId="3" fillId="7" borderId="70" xfId="2" applyNumberFormat="1" applyFont="1" applyFill="1" applyBorder="1" applyAlignment="1">
      <alignment horizontal="center" vertical="center"/>
    </xf>
    <xf numFmtId="165" fontId="2" fillId="7" borderId="59" xfId="0" applyNumberFormat="1" applyFont="1" applyFill="1" applyBorder="1" applyAlignment="1">
      <alignment horizontal="center" vertical="center"/>
    </xf>
    <xf numFmtId="6" fontId="2" fillId="7" borderId="59" xfId="0" applyNumberFormat="1" applyFont="1" applyFill="1" applyBorder="1" applyAlignment="1">
      <alignment horizontal="center" vertical="center"/>
    </xf>
    <xf numFmtId="165" fontId="2" fillId="7" borderId="60" xfId="0" applyNumberFormat="1" applyFont="1" applyFill="1" applyBorder="1" applyAlignment="1">
      <alignment horizontal="center" vertical="center"/>
    </xf>
    <xf numFmtId="165" fontId="2" fillId="9" borderId="58" xfId="0" applyNumberFormat="1" applyFont="1" applyFill="1" applyBorder="1" applyAlignment="1">
      <alignment horizontal="center" vertical="center"/>
    </xf>
    <xf numFmtId="165" fontId="2" fillId="9" borderId="60" xfId="0" applyNumberFormat="1" applyFont="1" applyFill="1" applyBorder="1" applyAlignment="1">
      <alignment horizontal="center" vertical="center"/>
    </xf>
    <xf numFmtId="165" fontId="2" fillId="7" borderId="58" xfId="0" applyNumberFormat="1" applyFont="1" applyFill="1" applyBorder="1" applyAlignment="1">
      <alignment horizontal="center" vertical="center"/>
    </xf>
    <xf numFmtId="44" fontId="2" fillId="7" borderId="70" xfId="0" applyNumberFormat="1" applyFont="1" applyFill="1" applyBorder="1" applyAlignment="1">
      <alignment horizontal="center" vertical="center"/>
    </xf>
    <xf numFmtId="44" fontId="2" fillId="9" borderId="59" xfId="0" applyNumberFormat="1" applyFont="1" applyFill="1" applyBorder="1" applyAlignment="1">
      <alignment horizontal="center" vertical="center"/>
    </xf>
    <xf numFmtId="44" fontId="2" fillId="9" borderId="75" xfId="0" applyNumberFormat="1" applyFont="1" applyFill="1" applyBorder="1" applyAlignment="1">
      <alignment horizontal="center" vertical="center"/>
    </xf>
    <xf numFmtId="44" fontId="2" fillId="9" borderId="70" xfId="0" applyNumberFormat="1" applyFont="1" applyFill="1" applyBorder="1" applyAlignment="1">
      <alignment horizontal="center" vertical="center"/>
    </xf>
    <xf numFmtId="44" fontId="32" fillId="9" borderId="70" xfId="0" applyNumberFormat="1" applyFont="1" applyFill="1" applyBorder="1" applyAlignment="1">
      <alignment horizontal="center" vertical="center"/>
    </xf>
    <xf numFmtId="44" fontId="32" fillId="7" borderId="58" xfId="0" applyNumberFormat="1" applyFont="1" applyFill="1" applyBorder="1" applyAlignment="1">
      <alignment horizontal="center" vertical="center"/>
    </xf>
    <xf numFmtId="44" fontId="32" fillId="7" borderId="70" xfId="0" applyNumberFormat="1" applyFont="1" applyFill="1" applyBorder="1" applyAlignment="1">
      <alignment horizontal="center" vertical="center"/>
    </xf>
    <xf numFmtId="44" fontId="0" fillId="7" borderId="58" xfId="0" applyNumberFormat="1" applyFill="1" applyBorder="1" applyAlignment="1">
      <alignment horizontal="center" vertical="center"/>
    </xf>
    <xf numFmtId="44" fontId="0" fillId="7" borderId="59" xfId="0" applyNumberFormat="1" applyFill="1" applyBorder="1" applyAlignment="1">
      <alignment horizontal="center" vertical="center"/>
    </xf>
    <xf numFmtId="44" fontId="0" fillId="7" borderId="75" xfId="0" applyNumberFormat="1" applyFill="1" applyBorder="1" applyAlignment="1">
      <alignment horizontal="center" vertical="center"/>
    </xf>
    <xf numFmtId="44" fontId="32" fillId="7" borderId="59" xfId="0" applyNumberFormat="1" applyFont="1" applyFill="1" applyBorder="1" applyAlignment="1">
      <alignment horizontal="center" vertical="center"/>
    </xf>
    <xf numFmtId="44" fontId="32" fillId="7" borderId="12" xfId="0" applyNumberFormat="1" applyFont="1" applyFill="1" applyBorder="1" applyAlignment="1">
      <alignment horizontal="center" vertical="center"/>
    </xf>
    <xf numFmtId="44" fontId="0" fillId="5" borderId="75" xfId="0" applyNumberFormat="1" applyFill="1" applyBorder="1" applyAlignment="1">
      <alignment horizontal="center" vertical="center"/>
    </xf>
    <xf numFmtId="44" fontId="0" fillId="5" borderId="59" xfId="0" applyNumberForma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center" vertical="center"/>
    </xf>
    <xf numFmtId="0" fontId="22" fillId="7" borderId="45" xfId="0" applyFont="1" applyFill="1" applyBorder="1" applyAlignment="1">
      <alignment horizontal="center" vertical="center" wrapText="1"/>
    </xf>
    <xf numFmtId="164" fontId="2" fillId="9" borderId="2" xfId="1" applyNumberFormat="1" applyFont="1" applyFill="1" applyBorder="1" applyAlignment="1">
      <alignment horizontal="center" vertical="center"/>
    </xf>
    <xf numFmtId="164" fontId="2" fillId="7" borderId="2" xfId="1" applyNumberFormat="1" applyFont="1" applyFill="1" applyBorder="1" applyAlignment="1">
      <alignment horizontal="center" vertical="center"/>
    </xf>
    <xf numFmtId="164" fontId="2" fillId="7" borderId="2" xfId="0" applyNumberFormat="1" applyFont="1" applyFill="1" applyBorder="1" applyAlignment="1">
      <alignment horizontal="center" vertical="center"/>
    </xf>
    <xf numFmtId="164" fontId="2" fillId="9" borderId="2" xfId="0" applyNumberFormat="1" applyFont="1" applyFill="1" applyBorder="1" applyAlignment="1">
      <alignment horizontal="center" vertical="center"/>
    </xf>
    <xf numFmtId="44" fontId="2" fillId="7" borderId="2" xfId="0" applyNumberFormat="1" applyFont="1" applyFill="1" applyBorder="1" applyAlignment="1">
      <alignment horizontal="center" vertical="center"/>
    </xf>
    <xf numFmtId="44" fontId="2" fillId="9" borderId="2" xfId="0" applyNumberFormat="1" applyFont="1" applyFill="1" applyBorder="1" applyAlignment="1">
      <alignment horizontal="center" vertical="center"/>
    </xf>
    <xf numFmtId="44" fontId="30" fillId="9" borderId="2" xfId="0" applyNumberFormat="1" applyFont="1" applyFill="1" applyBorder="1" applyAlignment="1">
      <alignment horizontal="center" vertical="center"/>
    </xf>
    <xf numFmtId="44" fontId="21" fillId="9" borderId="2" xfId="0" applyNumberFormat="1" applyFont="1" applyFill="1" applyBorder="1" applyAlignment="1">
      <alignment horizontal="center" vertical="center"/>
    </xf>
    <xf numFmtId="44" fontId="32" fillId="9" borderId="2" xfId="0" applyNumberFormat="1" applyFont="1" applyFill="1" applyBorder="1" applyAlignment="1">
      <alignment horizontal="center" vertical="center"/>
    </xf>
    <xf numFmtId="44" fontId="2" fillId="9" borderId="5" xfId="0" applyNumberFormat="1" applyFont="1" applyFill="1" applyBorder="1" applyAlignment="1">
      <alignment horizontal="center" vertical="center"/>
    </xf>
    <xf numFmtId="164" fontId="34" fillId="7" borderId="45" xfId="0" applyNumberFormat="1" applyFont="1" applyFill="1" applyBorder="1" applyAlignment="1">
      <alignment horizontal="center" vertical="center"/>
    </xf>
    <xf numFmtId="164" fontId="34" fillId="7" borderId="2" xfId="0" applyNumberFormat="1" applyFont="1" applyFill="1" applyBorder="1" applyAlignment="1">
      <alignment horizontal="center" vertical="center"/>
    </xf>
    <xf numFmtId="44" fontId="0" fillId="7" borderId="2" xfId="0" applyNumberFormat="1" applyFill="1" applyBorder="1" applyAlignment="1">
      <alignment horizontal="center" vertical="center"/>
    </xf>
    <xf numFmtId="44" fontId="0" fillId="7" borderId="5" xfId="0" applyNumberFormat="1" applyFill="1" applyBorder="1" applyAlignment="1">
      <alignment horizontal="center" vertical="center"/>
    </xf>
    <xf numFmtId="0" fontId="22" fillId="7" borderId="50" xfId="0" applyFont="1" applyFill="1" applyBorder="1" applyAlignment="1">
      <alignment horizontal="center" vertical="center" wrapText="1"/>
    </xf>
    <xf numFmtId="164" fontId="2" fillId="9" borderId="63" xfId="1" applyNumberFormat="1" applyFont="1" applyFill="1" applyBorder="1" applyAlignment="1">
      <alignment horizontal="center" vertical="center"/>
    </xf>
    <xf numFmtId="164" fontId="2" fillId="9" borderId="63" xfId="0" applyNumberFormat="1" applyFont="1" applyFill="1" applyBorder="1" applyAlignment="1">
      <alignment horizontal="center" vertical="center"/>
    </xf>
    <xf numFmtId="164" fontId="34" fillId="7" borderId="50" xfId="0" applyNumberFormat="1" applyFont="1" applyFill="1" applyBorder="1" applyAlignment="1">
      <alignment horizontal="center" vertical="center"/>
    </xf>
    <xf numFmtId="44" fontId="0" fillId="7" borderId="63" xfId="0" applyNumberFormat="1" applyFill="1" applyBorder="1" applyAlignment="1">
      <alignment horizontal="center" vertical="center"/>
    </xf>
    <xf numFmtId="44" fontId="0" fillId="7" borderId="21" xfId="0" applyNumberFormat="1" applyFill="1" applyBorder="1" applyAlignment="1">
      <alignment horizontal="center" vertical="center"/>
    </xf>
    <xf numFmtId="0" fontId="22" fillId="7" borderId="47" xfId="0" applyFont="1" applyFill="1" applyBorder="1" applyAlignment="1">
      <alignment horizontal="center" vertical="center" wrapText="1"/>
    </xf>
    <xf numFmtId="44" fontId="2" fillId="9" borderId="27" xfId="0" applyNumberFormat="1" applyFont="1" applyFill="1" applyBorder="1" applyAlignment="1">
      <alignment horizontal="center" vertical="center"/>
    </xf>
    <xf numFmtId="164" fontId="34" fillId="7" borderId="47" xfId="0" applyNumberFormat="1" applyFont="1" applyFill="1" applyBorder="1" applyAlignment="1">
      <alignment horizontal="center" vertical="center"/>
    </xf>
    <xf numFmtId="44" fontId="0" fillId="7" borderId="48" xfId="0" applyNumberFormat="1" applyFill="1" applyBorder="1" applyAlignment="1">
      <alignment horizontal="center" vertical="center"/>
    </xf>
    <xf numFmtId="44" fontId="0" fillId="7" borderId="27" xfId="0" applyNumberFormat="1" applyFill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165" fontId="2" fillId="8" borderId="0" xfId="0" applyNumberFormat="1" applyFont="1" applyFill="1" applyBorder="1" applyAlignment="1">
      <alignment horizontal="center" vertical="center"/>
    </xf>
    <xf numFmtId="44" fontId="0" fillId="8" borderId="0" xfId="0" applyNumberFormat="1" applyFill="1" applyBorder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7" borderId="33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63" xfId="0" applyFill="1" applyBorder="1" applyAlignment="1">
      <alignment horizontal="center" vertical="center"/>
    </xf>
    <xf numFmtId="164" fontId="0" fillId="7" borderId="7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4" fontId="0" fillId="8" borderId="63" xfId="0" applyNumberFormat="1" applyFill="1" applyBorder="1" applyAlignment="1">
      <alignment horizontal="center" vertical="center"/>
    </xf>
    <xf numFmtId="0" fontId="0" fillId="8" borderId="63" xfId="0" applyFill="1" applyBorder="1" applyAlignment="1">
      <alignment horizontal="center" vertical="center"/>
    </xf>
    <xf numFmtId="44" fontId="34" fillId="5" borderId="63" xfId="0" applyNumberFormat="1" applyFont="1" applyFill="1" applyBorder="1" applyAlignment="1">
      <alignment horizontal="center" vertical="center"/>
    </xf>
    <xf numFmtId="44" fontId="0" fillId="5" borderId="63" xfId="0" applyNumberFormat="1" applyFill="1" applyBorder="1" applyAlignment="1">
      <alignment horizontal="center" vertical="center"/>
    </xf>
    <xf numFmtId="0" fontId="26" fillId="0" borderId="63" xfId="0" applyFont="1" applyBorder="1" applyAlignment="1">
      <alignment horizontal="center" vertical="center"/>
    </xf>
    <xf numFmtId="0" fontId="0" fillId="8" borderId="32" xfId="0" applyFill="1" applyBorder="1" applyAlignment="1">
      <alignment horizontal="center" vertical="center" wrapText="1"/>
    </xf>
    <xf numFmtId="0" fontId="34" fillId="4" borderId="31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32" fillId="4" borderId="33" xfId="0" applyFont="1" applyFill="1" applyBorder="1" applyAlignment="1">
      <alignment horizontal="center" vertical="center" wrapText="1"/>
    </xf>
    <xf numFmtId="0" fontId="32" fillId="8" borderId="31" xfId="0" applyFont="1" applyFill="1" applyBorder="1" applyAlignment="1">
      <alignment horizontal="center" vertical="center" wrapText="1"/>
    </xf>
    <xf numFmtId="0" fontId="34" fillId="8" borderId="31" xfId="0" applyFont="1" applyFill="1" applyBorder="1" applyAlignment="1">
      <alignment horizontal="center" vertical="center" wrapText="1"/>
    </xf>
    <xf numFmtId="0" fontId="34" fillId="8" borderId="63" xfId="0" applyFont="1" applyFill="1" applyBorder="1" applyAlignment="1">
      <alignment horizontal="center" vertical="center" wrapText="1"/>
    </xf>
    <xf numFmtId="0" fontId="37" fillId="0" borderId="63" xfId="0" applyFont="1" applyBorder="1" applyAlignment="1">
      <alignment horizontal="center" vertical="center"/>
    </xf>
    <xf numFmtId="0" fontId="34" fillId="0" borderId="63" xfId="0" applyFont="1" applyBorder="1" applyAlignment="1">
      <alignment horizontal="center" vertical="center"/>
    </xf>
    <xf numFmtId="0" fontId="34" fillId="8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8" borderId="0" xfId="0" applyFont="1" applyFill="1" applyAlignment="1">
      <alignment horizontal="center" vertical="center"/>
    </xf>
    <xf numFmtId="0" fontId="33" fillId="0" borderId="63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8" borderId="0" xfId="0" applyFont="1" applyFill="1" applyAlignment="1">
      <alignment horizontal="center" vertical="center"/>
    </xf>
    <xf numFmtId="0" fontId="32" fillId="8" borderId="0" xfId="0" applyFont="1" applyFill="1" applyBorder="1" applyAlignment="1">
      <alignment horizontal="center" vertical="center"/>
    </xf>
    <xf numFmtId="0" fontId="32" fillId="8" borderId="63" xfId="0" applyFont="1" applyFill="1" applyBorder="1" applyAlignment="1">
      <alignment horizontal="center" vertical="center"/>
    </xf>
    <xf numFmtId="169" fontId="34" fillId="8" borderId="63" xfId="0" applyNumberFormat="1" applyFont="1" applyFill="1" applyBorder="1" applyAlignment="1">
      <alignment horizontal="center" vertical="center"/>
    </xf>
    <xf numFmtId="169" fontId="32" fillId="5" borderId="63" xfId="0" applyNumberFormat="1" applyFont="1" applyFill="1" applyBorder="1" applyAlignment="1">
      <alignment vertical="center"/>
    </xf>
    <xf numFmtId="169" fontId="34" fillId="5" borderId="63" xfId="0" applyNumberFormat="1" applyFont="1" applyFill="1" applyBorder="1" applyAlignment="1">
      <alignment vertical="center"/>
    </xf>
    <xf numFmtId="169" fontId="0" fillId="5" borderId="63" xfId="0" applyNumberFormat="1" applyFill="1" applyBorder="1" applyAlignment="1">
      <alignment vertical="center"/>
    </xf>
    <xf numFmtId="169" fontId="0" fillId="5" borderId="63" xfId="0" applyNumberFormat="1" applyFont="1" applyFill="1" applyBorder="1" applyAlignment="1">
      <alignment horizontal="center" vertical="center"/>
    </xf>
    <xf numFmtId="169" fontId="32" fillId="5" borderId="63" xfId="0" applyNumberFormat="1" applyFont="1" applyFill="1" applyBorder="1" applyAlignment="1">
      <alignment horizontal="center" vertical="center"/>
    </xf>
    <xf numFmtId="169" fontId="0" fillId="5" borderId="63" xfId="0" applyNumberFormat="1" applyFill="1" applyBorder="1" applyAlignment="1">
      <alignment horizontal="center" vertical="center"/>
    </xf>
    <xf numFmtId="0" fontId="0" fillId="5" borderId="31" xfId="0" applyFont="1" applyFill="1" applyBorder="1" applyAlignment="1">
      <alignment horizontal="center" vertical="center" wrapText="1"/>
    </xf>
    <xf numFmtId="169" fontId="0" fillId="5" borderId="63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164" fontId="12" fillId="4" borderId="46" xfId="1" applyNumberFormat="1" applyFont="1" applyFill="1" applyBorder="1" applyAlignment="1">
      <alignment horizontal="center" vertical="center"/>
    </xf>
    <xf numFmtId="164" fontId="12" fillId="6" borderId="45" xfId="1" applyNumberFormat="1" applyFont="1" applyFill="1" applyBorder="1" applyAlignment="1">
      <alignment horizontal="center" vertical="center"/>
    </xf>
    <xf numFmtId="164" fontId="2" fillId="6" borderId="46" xfId="0" applyNumberFormat="1" applyFont="1" applyFill="1" applyBorder="1" applyAlignment="1">
      <alignment horizontal="center" vertical="center"/>
    </xf>
    <xf numFmtId="164" fontId="2" fillId="3" borderId="45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2" fontId="2" fillId="3" borderId="5" xfId="0" applyNumberFormat="1" applyFont="1" applyFill="1" applyBorder="1" applyAlignment="1">
      <alignment horizontal="center" vertical="center"/>
    </xf>
    <xf numFmtId="164" fontId="2" fillId="6" borderId="45" xfId="1" applyNumberFormat="1" applyFont="1" applyFill="1" applyBorder="1" applyAlignment="1">
      <alignment horizontal="center" vertical="center"/>
    </xf>
    <xf numFmtId="164" fontId="2" fillId="6" borderId="2" xfId="1" applyNumberFormat="1" applyFont="1" applyFill="1" applyBorder="1" applyAlignment="1">
      <alignment horizontal="center" vertical="center"/>
    </xf>
    <xf numFmtId="164" fontId="21" fillId="6" borderId="2" xfId="1" applyNumberFormat="1" applyFont="1" applyFill="1" applyBorder="1" applyAlignment="1">
      <alignment horizontal="center" vertical="center"/>
    </xf>
    <xf numFmtId="164" fontId="32" fillId="6" borderId="2" xfId="0" applyNumberFormat="1" applyFont="1" applyFill="1" applyBorder="1" applyAlignment="1">
      <alignment horizontal="center" vertical="center"/>
    </xf>
    <xf numFmtId="164" fontId="0" fillId="6" borderId="5" xfId="1" applyNumberFormat="1" applyFont="1" applyFill="1" applyBorder="1" applyAlignment="1">
      <alignment horizontal="center" vertical="center"/>
    </xf>
    <xf numFmtId="164" fontId="32" fillId="4" borderId="50" xfId="0" applyNumberFormat="1" applyFont="1" applyFill="1" applyBorder="1" applyAlignment="1">
      <alignment horizontal="center" vertical="center"/>
    </xf>
    <xf numFmtId="164" fontId="32" fillId="4" borderId="63" xfId="0" applyNumberFormat="1" applyFont="1" applyFill="1" applyBorder="1" applyAlignment="1">
      <alignment horizontal="center" vertical="center"/>
    </xf>
    <xf numFmtId="164" fontId="0" fillId="4" borderId="63" xfId="0" applyNumberFormat="1" applyFill="1" applyBorder="1" applyAlignment="1">
      <alignment horizontal="center" vertical="center"/>
    </xf>
    <xf numFmtId="164" fontId="32" fillId="4" borderId="21" xfId="0" applyNumberFormat="1" applyFont="1" applyFill="1" applyBorder="1" applyAlignment="1">
      <alignment horizontal="center" vertical="center"/>
    </xf>
    <xf numFmtId="164" fontId="0" fillId="8" borderId="22" xfId="0" applyNumberFormat="1" applyFill="1" applyBorder="1" applyAlignment="1">
      <alignment horizontal="center" vertical="center"/>
    </xf>
    <xf numFmtId="164" fontId="32" fillId="6" borderId="7" xfId="0" applyNumberFormat="1" applyFont="1" applyFill="1" applyBorder="1" applyAlignment="1">
      <alignment horizontal="center" vertical="center"/>
    </xf>
    <xf numFmtId="44" fontId="0" fillId="6" borderId="63" xfId="1" applyFont="1" applyFill="1" applyBorder="1" applyAlignment="1">
      <alignment horizontal="center" vertical="center"/>
    </xf>
    <xf numFmtId="164" fontId="32" fillId="6" borderId="63" xfId="0" applyNumberFormat="1" applyFont="1" applyFill="1" applyBorder="1" applyAlignment="1">
      <alignment horizontal="center" vertical="center"/>
    </xf>
    <xf numFmtId="164" fontId="0" fillId="6" borderId="63" xfId="0" applyNumberFormat="1" applyFill="1" applyBorder="1" applyAlignment="1">
      <alignment horizontal="center" vertical="center"/>
    </xf>
    <xf numFmtId="164" fontId="12" fillId="4" borderId="49" xfId="1" applyNumberFormat="1" applyFont="1" applyFill="1" applyBorder="1" applyAlignment="1">
      <alignment horizontal="center" vertical="center"/>
    </xf>
    <xf numFmtId="164" fontId="12" fillId="6" borderId="47" xfId="1" applyNumberFormat="1" applyFont="1" applyFill="1" applyBorder="1" applyAlignment="1">
      <alignment horizontal="center" vertical="center"/>
    </xf>
    <xf numFmtId="164" fontId="2" fillId="6" borderId="49" xfId="0" applyNumberFormat="1" applyFont="1" applyFill="1" applyBorder="1" applyAlignment="1">
      <alignment horizontal="center" vertical="center"/>
    </xf>
    <xf numFmtId="164" fontId="2" fillId="4" borderId="47" xfId="0" applyNumberFormat="1" applyFont="1" applyFill="1" applyBorder="1" applyAlignment="1">
      <alignment horizontal="center" vertical="center"/>
    </xf>
    <xf numFmtId="164" fontId="2" fillId="4" borderId="48" xfId="0" applyNumberFormat="1" applyFont="1" applyFill="1" applyBorder="1" applyAlignment="1">
      <alignment horizontal="center" vertical="center"/>
    </xf>
    <xf numFmtId="164" fontId="2" fillId="4" borderId="27" xfId="0" applyNumberFormat="1" applyFont="1" applyFill="1" applyBorder="1" applyAlignment="1">
      <alignment horizontal="center" vertical="center"/>
    </xf>
    <xf numFmtId="164" fontId="2" fillId="6" borderId="71" xfId="1" applyNumberFormat="1" applyFont="1" applyFill="1" applyBorder="1" applyAlignment="1">
      <alignment horizontal="center" vertical="center"/>
    </xf>
    <xf numFmtId="164" fontId="2" fillId="6" borderId="62" xfId="1" applyNumberFormat="1" applyFont="1" applyFill="1" applyBorder="1" applyAlignment="1">
      <alignment horizontal="center" vertical="center"/>
    </xf>
    <xf numFmtId="164" fontId="21" fillId="6" borderId="62" xfId="1" applyNumberFormat="1" applyFont="1" applyFill="1" applyBorder="1" applyAlignment="1">
      <alignment horizontal="center" vertical="center"/>
    </xf>
    <xf numFmtId="164" fontId="32" fillId="6" borderId="62" xfId="0" applyNumberFormat="1" applyFont="1" applyFill="1" applyBorder="1" applyAlignment="1">
      <alignment horizontal="center" vertical="center"/>
    </xf>
    <xf numFmtId="164" fontId="0" fillId="6" borderId="40" xfId="1" applyNumberFormat="1" applyFont="1" applyFill="1" applyBorder="1" applyAlignment="1">
      <alignment horizontal="center" vertical="center"/>
    </xf>
    <xf numFmtId="164" fontId="2" fillId="4" borderId="45" xfId="0" applyNumberFormat="1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2" fontId="2" fillId="4" borderId="5" xfId="0" applyNumberFormat="1" applyFont="1" applyFill="1" applyBorder="1" applyAlignment="1">
      <alignment horizontal="center" vertical="center"/>
    </xf>
    <xf numFmtId="164" fontId="12" fillId="4" borderId="64" xfId="1" applyNumberFormat="1" applyFont="1" applyFill="1" applyBorder="1" applyAlignment="1">
      <alignment horizontal="center" vertical="center"/>
    </xf>
    <xf numFmtId="164" fontId="12" fillId="6" borderId="50" xfId="1" applyNumberFormat="1" applyFont="1" applyFill="1" applyBorder="1" applyAlignment="1">
      <alignment horizontal="center" vertical="center"/>
    </xf>
    <xf numFmtId="164" fontId="2" fillId="6" borderId="64" xfId="0" applyNumberFormat="1" applyFont="1" applyFill="1" applyBorder="1" applyAlignment="1">
      <alignment horizontal="center" vertical="center"/>
    </xf>
    <xf numFmtId="164" fontId="2" fillId="4" borderId="50" xfId="0" applyNumberFormat="1" applyFont="1" applyFill="1" applyBorder="1" applyAlignment="1">
      <alignment horizontal="center" vertical="center"/>
    </xf>
    <xf numFmtId="164" fontId="2" fillId="4" borderId="63" xfId="0" applyNumberFormat="1" applyFont="1" applyFill="1" applyBorder="1" applyAlignment="1">
      <alignment horizontal="center" vertical="center"/>
    </xf>
    <xf numFmtId="164" fontId="2" fillId="4" borderId="21" xfId="0" applyNumberFormat="1" applyFont="1" applyFill="1" applyBorder="1" applyAlignment="1">
      <alignment horizontal="center" vertical="center"/>
    </xf>
    <xf numFmtId="164" fontId="2" fillId="6" borderId="50" xfId="1" applyNumberFormat="1" applyFont="1" applyFill="1" applyBorder="1" applyAlignment="1">
      <alignment horizontal="center" vertical="center"/>
    </xf>
    <xf numFmtId="164" fontId="2" fillId="6" borderId="63" xfId="1" applyNumberFormat="1" applyFont="1" applyFill="1" applyBorder="1" applyAlignment="1">
      <alignment horizontal="center" vertical="center"/>
    </xf>
    <xf numFmtId="164" fontId="21" fillId="6" borderId="63" xfId="1" applyNumberFormat="1" applyFont="1" applyFill="1" applyBorder="1" applyAlignment="1">
      <alignment horizontal="center" vertical="center"/>
    </xf>
    <xf numFmtId="164" fontId="0" fillId="6" borderId="21" xfId="1" applyNumberFormat="1" applyFont="1" applyFill="1" applyBorder="1" applyAlignment="1">
      <alignment horizontal="center" vertical="center"/>
    </xf>
    <xf numFmtId="164" fontId="12" fillId="6" borderId="49" xfId="1" applyNumberFormat="1" applyFont="1" applyFill="1" applyBorder="1" applyAlignment="1">
      <alignment horizontal="center" vertical="center"/>
    </xf>
    <xf numFmtId="164" fontId="12" fillId="4" borderId="47" xfId="1" applyNumberFormat="1" applyFont="1" applyFill="1" applyBorder="1" applyAlignment="1">
      <alignment horizontal="center" vertical="center"/>
    </xf>
    <xf numFmtId="164" fontId="12" fillId="4" borderId="48" xfId="1" applyNumberFormat="1" applyFont="1" applyFill="1" applyBorder="1" applyAlignment="1">
      <alignment horizontal="center" vertical="center"/>
    </xf>
    <xf numFmtId="164" fontId="12" fillId="4" borderId="27" xfId="1" applyNumberFormat="1" applyFont="1" applyFill="1" applyBorder="1" applyAlignment="1">
      <alignment horizontal="center" vertical="center"/>
    </xf>
    <xf numFmtId="164" fontId="12" fillId="6" borderId="71" xfId="1" applyNumberFormat="1" applyFont="1" applyFill="1" applyBorder="1" applyAlignment="1">
      <alignment horizontal="center" vertical="center"/>
    </xf>
    <xf numFmtId="164" fontId="12" fillId="6" borderId="62" xfId="1" applyNumberFormat="1" applyFont="1" applyFill="1" applyBorder="1" applyAlignment="1">
      <alignment horizontal="center" vertical="center"/>
    </xf>
    <xf numFmtId="164" fontId="2" fillId="6" borderId="25" xfId="1" applyNumberFormat="1" applyFont="1" applyFill="1" applyBorder="1" applyAlignment="1">
      <alignment horizontal="center" vertical="center"/>
    </xf>
    <xf numFmtId="164" fontId="2" fillId="6" borderId="52" xfId="1" applyNumberFormat="1" applyFont="1" applyFill="1" applyBorder="1" applyAlignment="1">
      <alignment horizontal="center" vertical="center"/>
    </xf>
    <xf numFmtId="164" fontId="12" fillId="6" borderId="38" xfId="1" applyNumberFormat="1" applyFont="1" applyFill="1" applyBorder="1" applyAlignment="1">
      <alignment horizontal="center" vertical="center"/>
    </xf>
    <xf numFmtId="164" fontId="15" fillId="4" borderId="64" xfId="1" applyNumberFormat="1" applyFont="1" applyFill="1" applyBorder="1" applyAlignment="1">
      <alignment horizontal="center" vertical="center"/>
    </xf>
    <xf numFmtId="164" fontId="15" fillId="4" borderId="49" xfId="1" applyNumberFormat="1" applyFont="1" applyFill="1" applyBorder="1" applyAlignment="1">
      <alignment horizontal="center" vertical="center"/>
    </xf>
    <xf numFmtId="164" fontId="12" fillId="6" borderId="48" xfId="1" applyNumberFormat="1" applyFont="1" applyFill="1" applyBorder="1" applyAlignment="1">
      <alignment horizontal="center" vertical="center"/>
    </xf>
    <xf numFmtId="164" fontId="21" fillId="6" borderId="48" xfId="1" applyNumberFormat="1" applyFont="1" applyFill="1" applyBorder="1" applyAlignment="1">
      <alignment horizontal="center" vertical="center"/>
    </xf>
    <xf numFmtId="164" fontId="2" fillId="6" borderId="48" xfId="1" applyNumberFormat="1" applyFont="1" applyFill="1" applyBorder="1" applyAlignment="1">
      <alignment horizontal="center" vertical="center"/>
    </xf>
    <xf numFmtId="164" fontId="32" fillId="6" borderId="48" xfId="0" applyNumberFormat="1" applyFont="1" applyFill="1" applyBorder="1" applyAlignment="1">
      <alignment horizontal="center" vertical="center"/>
    </xf>
    <xf numFmtId="164" fontId="0" fillId="6" borderId="27" xfId="1" applyNumberFormat="1" applyFont="1" applyFill="1" applyBorder="1" applyAlignment="1">
      <alignment horizontal="center" vertical="center"/>
    </xf>
    <xf numFmtId="164" fontId="32" fillId="4" borderId="71" xfId="0" applyNumberFormat="1" applyFont="1" applyFill="1" applyBorder="1" applyAlignment="1">
      <alignment horizontal="center" vertical="center"/>
    </xf>
    <xf numFmtId="164" fontId="32" fillId="4" borderId="62" xfId="0" applyNumberFormat="1" applyFont="1" applyFill="1" applyBorder="1" applyAlignment="1">
      <alignment horizontal="center" vertical="center"/>
    </xf>
    <xf numFmtId="164" fontId="0" fillId="4" borderId="62" xfId="0" applyNumberFormat="1" applyFill="1" applyBorder="1" applyAlignment="1">
      <alignment horizontal="center" vertical="center"/>
    </xf>
    <xf numFmtId="164" fontId="32" fillId="4" borderId="40" xfId="0" applyNumberFormat="1" applyFont="1" applyFill="1" applyBorder="1" applyAlignment="1">
      <alignment horizontal="center" vertical="center"/>
    </xf>
    <xf numFmtId="164" fontId="0" fillId="8" borderId="23" xfId="0" applyNumberFormat="1" applyFill="1" applyBorder="1" applyAlignment="1">
      <alignment horizontal="center" vertical="center"/>
    </xf>
    <xf numFmtId="0" fontId="2" fillId="4" borderId="45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164" fontId="2" fillId="6" borderId="45" xfId="0" applyNumberFormat="1" applyFont="1" applyFill="1" applyBorder="1" applyAlignment="1">
      <alignment horizontal="center" vertical="center"/>
    </xf>
    <xf numFmtId="164" fontId="2" fillId="6" borderId="2" xfId="0" applyNumberFormat="1" applyFont="1" applyFill="1" applyBorder="1" applyAlignment="1">
      <alignment horizontal="center" vertical="center"/>
    </xf>
    <xf numFmtId="168" fontId="32" fillId="6" borderId="2" xfId="0" applyNumberFormat="1" applyFont="1" applyFill="1" applyBorder="1" applyAlignment="1">
      <alignment horizontal="center" vertical="center"/>
    </xf>
    <xf numFmtId="164" fontId="32" fillId="4" borderId="32" xfId="0" applyNumberFormat="1" applyFont="1" applyFill="1" applyBorder="1" applyAlignment="1">
      <alignment horizontal="center" vertical="center"/>
    </xf>
    <xf numFmtId="164" fontId="32" fillId="4" borderId="31" xfId="0" applyNumberFormat="1" applyFont="1" applyFill="1" applyBorder="1" applyAlignment="1">
      <alignment horizontal="center" vertical="center"/>
    </xf>
    <xf numFmtId="164" fontId="0" fillId="4" borderId="31" xfId="0" applyNumberFormat="1" applyFill="1" applyBorder="1" applyAlignment="1">
      <alignment horizontal="center" vertical="center"/>
    </xf>
    <xf numFmtId="164" fontId="32" fillId="4" borderId="33" xfId="0" applyNumberFormat="1" applyFont="1" applyFill="1" applyBorder="1" applyAlignment="1">
      <alignment horizontal="center" vertical="center"/>
    </xf>
    <xf numFmtId="164" fontId="0" fillId="8" borderId="4" xfId="0" applyNumberFormat="1" applyFill="1" applyBorder="1" applyAlignment="1">
      <alignment horizontal="center" vertical="center"/>
    </xf>
    <xf numFmtId="164" fontId="32" fillId="6" borderId="34" xfId="0" applyNumberFormat="1" applyFont="1" applyFill="1" applyBorder="1" applyAlignment="1">
      <alignment horizontal="center" vertical="center"/>
    </xf>
    <xf numFmtId="164" fontId="0" fillId="6" borderId="31" xfId="0" applyNumberFormat="1" applyFill="1" applyBorder="1" applyAlignment="1">
      <alignment horizontal="center" vertical="center"/>
    </xf>
    <xf numFmtId="164" fontId="32" fillId="6" borderId="31" xfId="0" applyNumberFormat="1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164" fontId="2" fillId="6" borderId="47" xfId="0" applyNumberFormat="1" applyFont="1" applyFill="1" applyBorder="1" applyAlignment="1">
      <alignment horizontal="center" vertical="center"/>
    </xf>
    <xf numFmtId="164" fontId="2" fillId="6" borderId="71" xfId="0" applyNumberFormat="1" applyFont="1" applyFill="1" applyBorder="1" applyAlignment="1">
      <alignment horizontal="center" vertical="center"/>
    </xf>
    <xf numFmtId="164" fontId="2" fillId="6" borderId="62" xfId="0" applyNumberFormat="1" applyFont="1" applyFill="1" applyBorder="1" applyAlignment="1">
      <alignment horizontal="center" vertical="center"/>
    </xf>
    <xf numFmtId="168" fontId="32" fillId="6" borderId="62" xfId="0" applyNumberFormat="1" applyFont="1" applyFill="1" applyBorder="1" applyAlignment="1">
      <alignment horizontal="center" vertical="center"/>
    </xf>
    <xf numFmtId="44" fontId="2" fillId="4" borderId="5" xfId="1" applyFont="1" applyFill="1" applyBorder="1" applyAlignment="1">
      <alignment horizontal="center" vertical="center"/>
    </xf>
    <xf numFmtId="164" fontId="2" fillId="6" borderId="47" xfId="1" applyNumberFormat="1" applyFont="1" applyFill="1" applyBorder="1" applyAlignment="1">
      <alignment horizontal="center" vertical="center"/>
    </xf>
    <xf numFmtId="168" fontId="32" fillId="6" borderId="48" xfId="0" applyNumberFormat="1" applyFont="1" applyFill="1" applyBorder="1" applyAlignment="1">
      <alignment horizontal="center" vertical="center"/>
    </xf>
    <xf numFmtId="164" fontId="32" fillId="4" borderId="53" xfId="0" applyNumberFormat="1" applyFont="1" applyFill="1" applyBorder="1" applyAlignment="1">
      <alignment horizontal="center" vertical="center"/>
    </xf>
    <xf numFmtId="164" fontId="0" fillId="4" borderId="53" xfId="0" applyNumberFormat="1" applyFill="1" applyBorder="1" applyAlignment="1">
      <alignment horizontal="center" vertical="center"/>
    </xf>
    <xf numFmtId="164" fontId="32" fillId="4" borderId="73" xfId="0" applyNumberFormat="1" applyFont="1" applyFill="1" applyBorder="1" applyAlignment="1">
      <alignment horizontal="center" vertical="center"/>
    </xf>
    <xf numFmtId="164" fontId="0" fillId="8" borderId="39" xfId="0" applyNumberFormat="1" applyFill="1" applyBorder="1" applyAlignment="1">
      <alignment horizontal="center" vertical="center"/>
    </xf>
    <xf numFmtId="164" fontId="32" fillId="6" borderId="41" xfId="0" applyNumberFormat="1" applyFont="1" applyFill="1" applyBorder="1" applyAlignment="1">
      <alignment horizontal="center" vertical="center"/>
    </xf>
    <xf numFmtId="164" fontId="32" fillId="4" borderId="64" xfId="0" applyNumberFormat="1" applyFont="1" applyFill="1" applyBorder="1" applyAlignment="1">
      <alignment horizontal="center" vertical="center"/>
    </xf>
    <xf numFmtId="164" fontId="0" fillId="8" borderId="44" xfId="0" applyNumberFormat="1" applyFill="1" applyBorder="1" applyAlignment="1">
      <alignment horizontal="center" vertical="center"/>
    </xf>
    <xf numFmtId="164" fontId="2" fillId="6" borderId="50" xfId="0" applyNumberFormat="1" applyFont="1" applyFill="1" applyBorder="1" applyAlignment="1">
      <alignment horizontal="center" vertical="center"/>
    </xf>
    <xf numFmtId="164" fontId="0" fillId="8" borderId="76" xfId="0" applyNumberFormat="1" applyFill="1" applyBorder="1" applyAlignment="1">
      <alignment horizontal="center" vertical="center"/>
    </xf>
    <xf numFmtId="164" fontId="12" fillId="4" borderId="51" xfId="1" applyNumberFormat="1" applyFont="1" applyFill="1" applyBorder="1" applyAlignment="1">
      <alignment horizontal="center" vertical="center"/>
    </xf>
    <xf numFmtId="164" fontId="2" fillId="6" borderId="51" xfId="0" applyNumberFormat="1" applyFont="1" applyFill="1" applyBorder="1" applyAlignment="1">
      <alignment horizontal="center" vertical="center"/>
    </xf>
    <xf numFmtId="164" fontId="2" fillId="4" borderId="71" xfId="0" applyNumberFormat="1" applyFont="1" applyFill="1" applyBorder="1" applyAlignment="1">
      <alignment horizontal="center" vertical="center"/>
    </xf>
    <xf numFmtId="164" fontId="2" fillId="4" borderId="62" xfId="0" applyNumberFormat="1" applyFont="1" applyFill="1" applyBorder="1" applyAlignment="1">
      <alignment horizontal="center" vertical="center"/>
    </xf>
    <xf numFmtId="164" fontId="2" fillId="4" borderId="40" xfId="0" applyNumberFormat="1" applyFont="1" applyFill="1" applyBorder="1" applyAlignment="1">
      <alignment horizontal="center" vertical="center"/>
    </xf>
    <xf numFmtId="164" fontId="12" fillId="6" borderId="64" xfId="1" applyNumberFormat="1" applyFont="1" applyFill="1" applyBorder="1" applyAlignment="1">
      <alignment horizontal="center" vertical="center"/>
    </xf>
    <xf numFmtId="164" fontId="12" fillId="4" borderId="50" xfId="1" applyNumberFormat="1" applyFont="1" applyFill="1" applyBorder="1" applyAlignment="1">
      <alignment horizontal="center" vertical="center"/>
    </xf>
    <xf numFmtId="164" fontId="12" fillId="4" borderId="63" xfId="1" applyNumberFormat="1" applyFont="1" applyFill="1" applyBorder="1" applyAlignment="1">
      <alignment horizontal="center" vertical="center"/>
    </xf>
    <xf numFmtId="164" fontId="12" fillId="4" borderId="21" xfId="1" applyNumberFormat="1" applyFont="1" applyFill="1" applyBorder="1" applyAlignment="1">
      <alignment horizontal="center" vertical="center"/>
    </xf>
    <xf numFmtId="164" fontId="12" fillId="6" borderId="51" xfId="1" applyNumberFormat="1" applyFont="1" applyFill="1" applyBorder="1" applyAlignment="1">
      <alignment horizontal="center" vertical="center"/>
    </xf>
    <xf numFmtId="164" fontId="12" fillId="4" borderId="71" xfId="1" applyNumberFormat="1" applyFont="1" applyFill="1" applyBorder="1" applyAlignment="1">
      <alignment horizontal="center" vertical="center"/>
    </xf>
    <xf numFmtId="164" fontId="12" fillId="4" borderId="62" xfId="1" applyNumberFormat="1" applyFont="1" applyFill="1" applyBorder="1" applyAlignment="1">
      <alignment horizontal="center" vertical="center"/>
    </xf>
    <xf numFmtId="164" fontId="12" fillId="4" borderId="40" xfId="1" applyNumberFormat="1" applyFont="1" applyFill="1" applyBorder="1" applyAlignment="1">
      <alignment horizontal="center" vertical="center"/>
    </xf>
    <xf numFmtId="165" fontId="15" fillId="4" borderId="46" xfId="1" applyNumberFormat="1" applyFont="1" applyFill="1" applyBorder="1" applyAlignment="1">
      <alignment horizontal="center" vertical="center"/>
    </xf>
    <xf numFmtId="164" fontId="15" fillId="4" borderId="46" xfId="1" applyNumberFormat="1" applyFont="1" applyFill="1" applyBorder="1" applyAlignment="1">
      <alignment horizontal="center" vertical="center"/>
    </xf>
    <xf numFmtId="164" fontId="32" fillId="4" borderId="47" xfId="0" applyNumberFormat="1" applyFont="1" applyFill="1" applyBorder="1" applyAlignment="1">
      <alignment horizontal="center" vertical="center"/>
    </xf>
    <xf numFmtId="164" fontId="32" fillId="4" borderId="48" xfId="0" applyNumberFormat="1" applyFont="1" applyFill="1" applyBorder="1" applyAlignment="1">
      <alignment horizontal="center" vertical="center"/>
    </xf>
    <xf numFmtId="164" fontId="0" fillId="4" borderId="48" xfId="0" applyNumberFormat="1" applyFill="1" applyBorder="1" applyAlignment="1">
      <alignment horizontal="center" vertical="center"/>
    </xf>
    <xf numFmtId="164" fontId="32" fillId="4" borderId="27" xfId="0" applyNumberFormat="1" applyFont="1" applyFill="1" applyBorder="1" applyAlignment="1">
      <alignment horizontal="center" vertical="center"/>
    </xf>
    <xf numFmtId="164" fontId="32" fillId="4" borderId="49" xfId="0" applyNumberFormat="1" applyFont="1" applyFill="1" applyBorder="1" applyAlignment="1">
      <alignment horizontal="center" vertical="center"/>
    </xf>
    <xf numFmtId="164" fontId="0" fillId="8" borderId="68" xfId="0" applyNumberFormat="1" applyFill="1" applyBorder="1" applyAlignment="1">
      <alignment horizontal="center" vertical="center"/>
    </xf>
    <xf numFmtId="164" fontId="12" fillId="3" borderId="2" xfId="1" applyNumberFormat="1" applyFont="1" applyFill="1" applyBorder="1" applyAlignment="1">
      <alignment horizontal="center" vertical="center"/>
    </xf>
    <xf numFmtId="164" fontId="12" fillId="6" borderId="2" xfId="1" applyNumberFormat="1" applyFont="1" applyFill="1" applyBorder="1" applyAlignment="1">
      <alignment horizontal="center" vertical="center"/>
    </xf>
    <xf numFmtId="44" fontId="2" fillId="6" borderId="2" xfId="1" applyFont="1" applyFill="1" applyBorder="1" applyAlignment="1">
      <alignment horizontal="center" vertical="center"/>
    </xf>
    <xf numFmtId="164" fontId="0" fillId="4" borderId="45" xfId="0" applyNumberFormat="1" applyFont="1" applyFill="1" applyBorder="1" applyAlignment="1">
      <alignment horizontal="center" vertical="center"/>
    </xf>
    <xf numFmtId="164" fontId="0" fillId="4" borderId="2" xfId="0" applyNumberFormat="1" applyFont="1" applyFill="1" applyBorder="1" applyAlignment="1">
      <alignment horizontal="center" vertical="center"/>
    </xf>
    <xf numFmtId="164" fontId="0" fillId="4" borderId="5" xfId="0" applyNumberFormat="1" applyFont="1" applyFill="1" applyBorder="1" applyAlignment="1">
      <alignment horizontal="center" vertical="center"/>
    </xf>
    <xf numFmtId="164" fontId="0" fillId="8" borderId="25" xfId="0" applyNumberFormat="1" applyFont="1" applyFill="1" applyBorder="1" applyAlignment="1">
      <alignment horizontal="center" vertical="center"/>
    </xf>
    <xf numFmtId="164" fontId="0" fillId="6" borderId="45" xfId="0" applyNumberFormat="1" applyFill="1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164" fontId="12" fillId="3" borderId="63" xfId="1" applyNumberFormat="1" applyFont="1" applyFill="1" applyBorder="1" applyAlignment="1">
      <alignment horizontal="center" vertical="center"/>
    </xf>
    <xf numFmtId="164" fontId="12" fillId="6" borderId="63" xfId="1" applyNumberFormat="1" applyFont="1" applyFill="1" applyBorder="1" applyAlignment="1">
      <alignment horizontal="center" vertical="center"/>
    </xf>
    <xf numFmtId="164" fontId="2" fillId="6" borderId="63" xfId="0" applyNumberFormat="1" applyFont="1" applyFill="1" applyBorder="1" applyAlignment="1">
      <alignment horizontal="center" vertical="center"/>
    </xf>
    <xf numFmtId="44" fontId="2" fillId="4" borderId="63" xfId="1" applyFont="1" applyFill="1" applyBorder="1" applyAlignment="1">
      <alignment horizontal="center" vertical="center"/>
    </xf>
    <xf numFmtId="44" fontId="2" fillId="6" borderId="63" xfId="1" applyFont="1" applyFill="1" applyBorder="1" applyAlignment="1">
      <alignment horizontal="center" vertical="center"/>
    </xf>
    <xf numFmtId="168" fontId="32" fillId="6" borderId="63" xfId="0" applyNumberFormat="1" applyFont="1" applyFill="1" applyBorder="1" applyAlignment="1">
      <alignment horizontal="center" vertical="center"/>
    </xf>
    <xf numFmtId="164" fontId="0" fillId="4" borderId="50" xfId="0" applyNumberFormat="1" applyFont="1" applyFill="1" applyBorder="1" applyAlignment="1">
      <alignment horizontal="center" vertical="center"/>
    </xf>
    <xf numFmtId="164" fontId="0" fillId="4" borderId="63" xfId="0" applyNumberFormat="1" applyFont="1" applyFill="1" applyBorder="1" applyAlignment="1">
      <alignment horizontal="center" vertical="center"/>
    </xf>
    <xf numFmtId="164" fontId="0" fillId="4" borderId="21" xfId="0" applyNumberFormat="1" applyFont="1" applyFill="1" applyBorder="1" applyAlignment="1">
      <alignment horizontal="center" vertical="center"/>
    </xf>
    <xf numFmtId="164" fontId="0" fillId="8" borderId="52" xfId="0" applyNumberFormat="1" applyFont="1" applyFill="1" applyBorder="1" applyAlignment="1">
      <alignment horizontal="center" vertical="center"/>
    </xf>
    <xf numFmtId="164" fontId="0" fillId="6" borderId="50" xfId="0" applyNumberFormat="1" applyFill="1" applyBorder="1" applyAlignment="1">
      <alignment horizontal="center" vertical="center"/>
    </xf>
    <xf numFmtId="44" fontId="2" fillId="6" borderId="63" xfId="0" applyNumberFormat="1" applyFont="1" applyFill="1" applyBorder="1" applyAlignment="1">
      <alignment horizontal="center" vertical="center"/>
    </xf>
    <xf numFmtId="2" fontId="2" fillId="6" borderId="63" xfId="0" applyNumberFormat="1" applyFont="1" applyFill="1" applyBorder="1" applyAlignment="1">
      <alignment horizontal="center" vertical="center"/>
    </xf>
    <xf numFmtId="168" fontId="34" fillId="6" borderId="63" xfId="0" applyNumberFormat="1" applyFont="1" applyFill="1" applyBorder="1" applyAlignment="1">
      <alignment horizontal="center" vertical="center"/>
    </xf>
    <xf numFmtId="164" fontId="12" fillId="3" borderId="48" xfId="1" applyNumberFormat="1" applyFont="1" applyFill="1" applyBorder="1" applyAlignment="1">
      <alignment horizontal="center" vertical="center"/>
    </xf>
    <xf numFmtId="164" fontId="2" fillId="6" borderId="48" xfId="0" applyNumberFormat="1" applyFont="1" applyFill="1" applyBorder="1" applyAlignment="1">
      <alignment horizontal="center" vertical="center"/>
    </xf>
    <xf numFmtId="44" fontId="2" fillId="4" borderId="48" xfId="1" applyFont="1" applyFill="1" applyBorder="1" applyAlignment="1">
      <alignment horizontal="center" vertical="center"/>
    </xf>
    <xf numFmtId="44" fontId="2" fillId="6" borderId="48" xfId="1" applyFont="1" applyFill="1" applyBorder="1" applyAlignment="1">
      <alignment horizontal="center" vertical="center"/>
    </xf>
    <xf numFmtId="44" fontId="2" fillId="6" borderId="48" xfId="0" applyNumberFormat="1" applyFont="1" applyFill="1" applyBorder="1" applyAlignment="1">
      <alignment horizontal="center" vertical="center"/>
    </xf>
    <xf numFmtId="2" fontId="2" fillId="6" borderId="48" xfId="0" applyNumberFormat="1" applyFont="1" applyFill="1" applyBorder="1" applyAlignment="1">
      <alignment horizontal="center" vertical="center"/>
    </xf>
    <xf numFmtId="168" fontId="34" fillId="6" borderId="48" xfId="0" applyNumberFormat="1" applyFont="1" applyFill="1" applyBorder="1" applyAlignment="1">
      <alignment horizontal="center" vertical="center"/>
    </xf>
    <xf numFmtId="164" fontId="0" fillId="4" borderId="47" xfId="0" applyNumberFormat="1" applyFont="1" applyFill="1" applyBorder="1" applyAlignment="1">
      <alignment horizontal="center" vertical="center"/>
    </xf>
    <xf numFmtId="164" fontId="0" fillId="4" borderId="48" xfId="0" applyNumberFormat="1" applyFont="1" applyFill="1" applyBorder="1" applyAlignment="1">
      <alignment horizontal="center" vertical="center"/>
    </xf>
    <xf numFmtId="164" fontId="0" fillId="4" borderId="27" xfId="0" applyNumberFormat="1" applyFont="1" applyFill="1" applyBorder="1" applyAlignment="1">
      <alignment horizontal="center" vertical="center"/>
    </xf>
    <xf numFmtId="164" fontId="0" fillId="8" borderId="24" xfId="0" applyNumberFormat="1" applyFont="1" applyFill="1" applyBorder="1" applyAlignment="1">
      <alignment horizontal="center" vertical="center"/>
    </xf>
    <xf numFmtId="164" fontId="0" fillId="6" borderId="47" xfId="0" applyNumberFormat="1" applyFill="1" applyBorder="1" applyAlignment="1">
      <alignment horizontal="center" vertical="center"/>
    </xf>
    <xf numFmtId="44" fontId="21" fillId="6" borderId="2" xfId="1" applyFont="1" applyFill="1" applyBorder="1" applyAlignment="1">
      <alignment horizontal="center" vertical="center"/>
    </xf>
    <xf numFmtId="0" fontId="32" fillId="6" borderId="2" xfId="0" applyFont="1" applyFill="1" applyBorder="1" applyAlignment="1">
      <alignment horizontal="center" vertical="center"/>
    </xf>
    <xf numFmtId="164" fontId="0" fillId="8" borderId="4" xfId="0" applyNumberFormat="1" applyFont="1" applyFill="1" applyBorder="1" applyAlignment="1">
      <alignment horizontal="center" vertical="center"/>
    </xf>
    <xf numFmtId="44" fontId="0" fillId="6" borderId="79" xfId="1" applyFont="1" applyFill="1" applyBorder="1" applyAlignment="1">
      <alignment horizontal="center" vertical="center"/>
    </xf>
    <xf numFmtId="44" fontId="0" fillId="6" borderId="2" xfId="1" applyFont="1" applyFill="1" applyBorder="1" applyAlignment="1">
      <alignment horizontal="center" vertical="center"/>
    </xf>
    <xf numFmtId="44" fontId="0" fillId="6" borderId="5" xfId="1" applyFont="1" applyFill="1" applyBorder="1" applyAlignment="1">
      <alignment horizontal="center" vertical="center"/>
    </xf>
    <xf numFmtId="164" fontId="0" fillId="8" borderId="23" xfId="0" applyNumberFormat="1" applyFont="1" applyFill="1" applyBorder="1" applyAlignment="1">
      <alignment horizontal="center" vertical="center"/>
    </xf>
    <xf numFmtId="44" fontId="0" fillId="6" borderId="74" xfId="1" applyFont="1" applyFill="1" applyBorder="1" applyAlignment="1">
      <alignment horizontal="center" vertical="center"/>
    </xf>
    <xf numFmtId="44" fontId="0" fillId="6" borderId="48" xfId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164" fontId="32" fillId="6" borderId="21" xfId="0" applyNumberFormat="1" applyFont="1" applyFill="1" applyBorder="1" applyAlignment="1">
      <alignment horizontal="center" vertical="center"/>
    </xf>
    <xf numFmtId="164" fontId="32" fillId="6" borderId="33" xfId="0" applyNumberFormat="1" applyFont="1" applyFill="1" applyBorder="1" applyAlignment="1">
      <alignment horizontal="center" vertical="center"/>
    </xf>
    <xf numFmtId="164" fontId="0" fillId="0" borderId="63" xfId="0" applyNumberFormat="1" applyBorder="1" applyAlignment="1">
      <alignment horizontal="center" vertical="center"/>
    </xf>
    <xf numFmtId="164" fontId="0" fillId="0" borderId="63" xfId="0" applyNumberFormat="1" applyBorder="1" applyAlignment="1">
      <alignment horizontal="center" vertical="center"/>
    </xf>
    <xf numFmtId="164" fontId="34" fillId="5" borderId="45" xfId="0" applyNumberFormat="1" applyFont="1" applyFill="1" applyBorder="1" applyAlignment="1">
      <alignment horizontal="center" vertical="center"/>
    </xf>
    <xf numFmtId="164" fontId="34" fillId="5" borderId="50" xfId="0" applyNumberFormat="1" applyFont="1" applyFill="1" applyBorder="1" applyAlignment="1">
      <alignment horizontal="center" vertical="center"/>
    </xf>
    <xf numFmtId="164" fontId="34" fillId="5" borderId="47" xfId="0" applyNumberFormat="1" applyFont="1" applyFill="1" applyBorder="1" applyAlignment="1">
      <alignment horizontal="center" vertical="center"/>
    </xf>
    <xf numFmtId="164" fontId="0" fillId="0" borderId="48" xfId="0" applyNumberForma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5" borderId="50" xfId="0" applyFill="1" applyBorder="1" applyAlignment="1">
      <alignment horizontal="center" vertical="center" wrapText="1"/>
    </xf>
    <xf numFmtId="169" fontId="0" fillId="5" borderId="50" xfId="0" applyNumberFormat="1" applyFill="1" applyBorder="1" applyAlignment="1">
      <alignment horizontal="center" vertical="center"/>
    </xf>
    <xf numFmtId="169" fontId="0" fillId="5" borderId="47" xfId="0" applyNumberFormat="1" applyFill="1" applyBorder="1" applyAlignment="1">
      <alignment horizontal="center" vertical="center"/>
    </xf>
    <xf numFmtId="164" fontId="0" fillId="0" borderId="79" xfId="0" applyNumberFormat="1" applyBorder="1" applyAlignment="1">
      <alignment vertical="center"/>
    </xf>
    <xf numFmtId="164" fontId="0" fillId="0" borderId="59" xfId="0" applyNumberForma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164" fontId="34" fillId="6" borderId="5" xfId="0" applyNumberFormat="1" applyFont="1" applyFill="1" applyBorder="1" applyAlignment="1">
      <alignment horizontal="center" vertical="center"/>
    </xf>
    <xf numFmtId="44" fontId="34" fillId="6" borderId="27" xfId="1" applyFont="1" applyFill="1" applyBorder="1" applyAlignment="1">
      <alignment horizontal="center" vertical="center"/>
    </xf>
    <xf numFmtId="44" fontId="0" fillId="7" borderId="63" xfId="1" applyFont="1" applyFill="1" applyBorder="1"/>
    <xf numFmtId="44" fontId="0" fillId="7" borderId="63" xfId="1" applyFont="1" applyFill="1" applyBorder="1" applyAlignment="1">
      <alignment horizontal="center" vertical="center"/>
    </xf>
    <xf numFmtId="164" fontId="0" fillId="7" borderId="63" xfId="1" applyNumberFormat="1" applyFont="1" applyFill="1" applyBorder="1"/>
    <xf numFmtId="0" fontId="32" fillId="7" borderId="63" xfId="0" applyFont="1" applyFill="1" applyBorder="1" applyAlignment="1">
      <alignment horizontal="center" vertical="center" wrapText="1"/>
    </xf>
    <xf numFmtId="0" fontId="0" fillId="7" borderId="63" xfId="0" applyFill="1" applyBorder="1" applyAlignment="1">
      <alignment horizontal="center" vertical="center" wrapText="1"/>
    </xf>
    <xf numFmtId="0" fontId="35" fillId="7" borderId="63" xfId="0" applyFont="1" applyFill="1" applyBorder="1" applyAlignment="1">
      <alignment horizontal="center" vertical="center"/>
    </xf>
    <xf numFmtId="0" fontId="0" fillId="5" borderId="63" xfId="0" applyFill="1" applyBorder="1" applyAlignment="1">
      <alignment horizontal="center" vertical="center"/>
    </xf>
    <xf numFmtId="44" fontId="0" fillId="5" borderId="21" xfId="0" applyNumberFormat="1" applyFill="1" applyBorder="1" applyAlignment="1">
      <alignment horizontal="center" vertical="center"/>
    </xf>
    <xf numFmtId="44" fontId="0" fillId="5" borderId="7" xfId="0" applyNumberFormat="1" applyFill="1" applyBorder="1" applyAlignment="1">
      <alignment horizontal="center" vertical="center"/>
    </xf>
    <xf numFmtId="164" fontId="34" fillId="7" borderId="63" xfId="0" applyNumberFormat="1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0" fontId="2" fillId="8" borderId="77" xfId="0" applyFont="1" applyFill="1" applyBorder="1" applyAlignment="1">
      <alignment horizontal="center" vertical="center" wrapText="1"/>
    </xf>
    <xf numFmtId="44" fontId="0" fillId="7" borderId="63" xfId="0" applyNumberFormat="1" applyFill="1" applyBorder="1" applyAlignment="1">
      <alignment horizontal="center" vertical="center"/>
    </xf>
    <xf numFmtId="0" fontId="32" fillId="7" borderId="63" xfId="0" applyFont="1" applyFill="1" applyBorder="1" applyAlignment="1">
      <alignment horizontal="center" vertical="center"/>
    </xf>
    <xf numFmtId="0" fontId="0" fillId="7" borderId="17" xfId="0" applyFont="1" applyFill="1" applyBorder="1" applyAlignment="1">
      <alignment horizontal="center" vertical="center" wrapText="1"/>
    </xf>
    <xf numFmtId="0" fontId="0" fillId="7" borderId="20" xfId="0" applyFont="1" applyFill="1" applyBorder="1" applyAlignment="1">
      <alignment horizontal="center" vertical="center" wrapText="1"/>
    </xf>
    <xf numFmtId="0" fontId="0" fillId="7" borderId="18" xfId="0" applyFont="1" applyFill="1" applyBorder="1" applyAlignment="1">
      <alignment horizontal="center" vertical="center" wrapText="1"/>
    </xf>
    <xf numFmtId="0" fontId="20" fillId="9" borderId="19" xfId="0" applyFont="1" applyFill="1" applyBorder="1" applyAlignment="1">
      <alignment horizontal="center" vertical="center"/>
    </xf>
    <xf numFmtId="0" fontId="20" fillId="9" borderId="9" xfId="0" applyFont="1" applyFill="1" applyBorder="1" applyAlignment="1">
      <alignment horizontal="center" vertical="center"/>
    </xf>
    <xf numFmtId="0" fontId="20" fillId="9" borderId="10" xfId="0" applyFont="1" applyFill="1" applyBorder="1" applyAlignment="1">
      <alignment horizontal="center" vertical="center"/>
    </xf>
    <xf numFmtId="0" fontId="20" fillId="9" borderId="30" xfId="0" applyFont="1" applyFill="1" applyBorder="1" applyAlignment="1">
      <alignment horizontal="center" vertical="center"/>
    </xf>
    <xf numFmtId="0" fontId="20" fillId="9" borderId="35" xfId="0" applyFont="1" applyFill="1" applyBorder="1" applyAlignment="1">
      <alignment horizontal="center" vertical="center"/>
    </xf>
    <xf numFmtId="0" fontId="20" fillId="9" borderId="44" xfId="0" applyFont="1" applyFill="1" applyBorder="1" applyAlignment="1">
      <alignment horizontal="center" vertical="center"/>
    </xf>
    <xf numFmtId="0" fontId="32" fillId="6" borderId="31" xfId="0" applyFont="1" applyFill="1" applyBorder="1" applyAlignment="1">
      <alignment horizontal="center" vertical="center" wrapText="1"/>
    </xf>
    <xf numFmtId="0" fontId="32" fillId="6" borderId="63" xfId="0" applyFont="1" applyFill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center" vertical="center" wrapText="1"/>
    </xf>
    <xf numFmtId="0" fontId="2" fillId="6" borderId="63" xfId="0" applyFont="1" applyFill="1" applyBorder="1" applyAlignment="1">
      <alignment horizontal="center" vertical="center" wrapText="1"/>
    </xf>
    <xf numFmtId="0" fontId="35" fillId="5" borderId="25" xfId="0" applyFont="1" applyFill="1" applyBorder="1" applyAlignment="1">
      <alignment horizontal="center" vertical="center"/>
    </xf>
    <xf numFmtId="0" fontId="35" fillId="5" borderId="6" xfId="0" applyFont="1" applyFill="1" applyBorder="1" applyAlignment="1">
      <alignment horizontal="center" vertical="center"/>
    </xf>
    <xf numFmtId="0" fontId="2" fillId="8" borderId="19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8" borderId="77" xfId="0" applyFont="1" applyFill="1" applyBorder="1" applyAlignment="1">
      <alignment horizontal="center" vertical="center"/>
    </xf>
    <xf numFmtId="0" fontId="0" fillId="8" borderId="28" xfId="0" applyFont="1" applyFill="1" applyBorder="1" applyAlignment="1">
      <alignment horizontal="center" vertical="center"/>
    </xf>
    <xf numFmtId="0" fontId="0" fillId="8" borderId="0" xfId="0" applyFont="1" applyFill="1" applyBorder="1" applyAlignment="1">
      <alignment horizontal="center" vertical="center"/>
    </xf>
    <xf numFmtId="0" fontId="0" fillId="8" borderId="77" xfId="0" applyFont="1" applyFill="1" applyBorder="1" applyAlignment="1">
      <alignment horizontal="center" vertical="center"/>
    </xf>
    <xf numFmtId="0" fontId="18" fillId="9" borderId="58" xfId="0" applyFont="1" applyFill="1" applyBorder="1" applyAlignment="1">
      <alignment horizontal="center" vertical="center"/>
    </xf>
    <xf numFmtId="0" fontId="18" fillId="9" borderId="59" xfId="0" applyFont="1" applyFill="1" applyBorder="1" applyAlignment="1">
      <alignment horizontal="center" vertical="center"/>
    </xf>
    <xf numFmtId="0" fontId="18" fillId="9" borderId="70" xfId="0" applyFont="1" applyFill="1" applyBorder="1" applyAlignment="1">
      <alignment horizontal="center" vertical="center"/>
    </xf>
    <xf numFmtId="0" fontId="18" fillId="7" borderId="58" xfId="0" applyFont="1" applyFill="1" applyBorder="1" applyAlignment="1">
      <alignment horizontal="center" vertical="center" wrapText="1"/>
    </xf>
    <xf numFmtId="0" fontId="18" fillId="7" borderId="60" xfId="0" applyFont="1" applyFill="1" applyBorder="1" applyAlignment="1">
      <alignment horizontal="center" vertical="center" wrapText="1"/>
    </xf>
    <xf numFmtId="0" fontId="20" fillId="7" borderId="25" xfId="0" applyFont="1" applyFill="1" applyBorder="1" applyAlignment="1">
      <alignment horizontal="center" vertical="center"/>
    </xf>
    <xf numFmtId="0" fontId="20" fillId="7" borderId="6" xfId="0" applyFont="1" applyFill="1" applyBorder="1" applyAlignment="1">
      <alignment horizontal="center" vertical="center"/>
    </xf>
    <xf numFmtId="0" fontId="20" fillId="7" borderId="11" xfId="0" applyFont="1" applyFill="1" applyBorder="1" applyAlignment="1">
      <alignment horizontal="center" vertical="center"/>
    </xf>
    <xf numFmtId="0" fontId="18" fillId="9" borderId="8" xfId="0" applyFont="1" applyFill="1" applyBorder="1" applyAlignment="1">
      <alignment horizontal="center" vertical="center"/>
    </xf>
    <xf numFmtId="0" fontId="18" fillId="9" borderId="13" xfId="0" applyFont="1" applyFill="1" applyBorder="1" applyAlignment="1">
      <alignment horizontal="center" vertical="center"/>
    </xf>
    <xf numFmtId="0" fontId="18" fillId="9" borderId="12" xfId="0" applyFont="1" applyFill="1" applyBorder="1" applyAlignment="1">
      <alignment horizontal="center" vertical="center"/>
    </xf>
    <xf numFmtId="0" fontId="18" fillId="7" borderId="8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/>
    </xf>
    <xf numFmtId="0" fontId="0" fillId="7" borderId="52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17" fontId="2" fillId="7" borderId="8" xfId="0" applyNumberFormat="1" applyFont="1" applyFill="1" applyBorder="1" applyAlignment="1">
      <alignment horizontal="center" vertical="center"/>
    </xf>
    <xf numFmtId="17" fontId="2" fillId="7" borderId="13" xfId="0" applyNumberFormat="1" applyFont="1" applyFill="1" applyBorder="1" applyAlignment="1">
      <alignment horizontal="center" vertical="center"/>
    </xf>
    <xf numFmtId="17" fontId="2" fillId="2" borderId="8" xfId="0" applyNumberFormat="1" applyFont="1" applyFill="1" applyBorder="1" applyAlignment="1">
      <alignment horizontal="center" vertical="center"/>
    </xf>
    <xf numFmtId="17" fontId="2" fillId="2" borderId="13" xfId="0" applyNumberFormat="1" applyFont="1" applyFill="1" applyBorder="1" applyAlignment="1">
      <alignment horizontal="center" vertical="center"/>
    </xf>
    <xf numFmtId="0" fontId="32" fillId="8" borderId="63" xfId="0" applyFont="1" applyFill="1" applyBorder="1" applyAlignment="1">
      <alignment horizontal="center" vertical="center" wrapText="1"/>
    </xf>
    <xf numFmtId="17" fontId="1" fillId="2" borderId="8" xfId="1" applyNumberFormat="1" applyFont="1" applyFill="1" applyBorder="1" applyAlignment="1">
      <alignment horizontal="center" vertical="center"/>
    </xf>
    <xf numFmtId="17" fontId="1" fillId="2" borderId="13" xfId="1" applyNumberFormat="1" applyFont="1" applyFill="1" applyBorder="1" applyAlignment="1">
      <alignment horizontal="center" vertical="center"/>
    </xf>
    <xf numFmtId="9" fontId="2" fillId="9" borderId="50" xfId="0" applyNumberFormat="1" applyFont="1" applyFill="1" applyBorder="1" applyAlignment="1">
      <alignment horizontal="center" vertical="center" wrapText="1"/>
    </xf>
    <xf numFmtId="9" fontId="2" fillId="9" borderId="47" xfId="0" applyNumberFormat="1" applyFont="1" applyFill="1" applyBorder="1" applyAlignment="1">
      <alignment horizontal="center" vertical="center" wrapText="1"/>
    </xf>
    <xf numFmtId="9" fontId="2" fillId="2" borderId="64" xfId="0" applyNumberFormat="1" applyFont="1" applyFill="1" applyBorder="1" applyAlignment="1">
      <alignment horizontal="center" vertical="center" wrapText="1"/>
    </xf>
    <xf numFmtId="9" fontId="2" fillId="2" borderId="49" xfId="0" applyNumberFormat="1" applyFont="1" applyFill="1" applyBorder="1" applyAlignment="1">
      <alignment horizontal="center" vertical="center" wrapText="1"/>
    </xf>
    <xf numFmtId="17" fontId="2" fillId="9" borderId="50" xfId="0" applyNumberFormat="1" applyFont="1" applyFill="1" applyBorder="1" applyAlignment="1">
      <alignment horizontal="center" vertical="center" wrapText="1"/>
    </xf>
    <xf numFmtId="17" fontId="2" fillId="9" borderId="47" xfId="0" applyNumberFormat="1" applyFont="1" applyFill="1" applyBorder="1" applyAlignment="1">
      <alignment horizontal="center" vertical="center" wrapText="1"/>
    </xf>
    <xf numFmtId="0" fontId="2" fillId="9" borderId="63" xfId="0" applyFont="1" applyFill="1" applyBorder="1" applyAlignment="1">
      <alignment horizontal="center" vertical="center" wrapText="1"/>
    </xf>
    <xf numFmtId="0" fontId="2" fillId="9" borderId="48" xfId="0" applyFont="1" applyFill="1" applyBorder="1" applyAlignment="1">
      <alignment horizontal="center" vertical="center" wrapText="1"/>
    </xf>
    <xf numFmtId="17" fontId="2" fillId="9" borderId="63" xfId="0" applyNumberFormat="1" applyFont="1" applyFill="1" applyBorder="1" applyAlignment="1">
      <alignment horizontal="center" vertical="center" wrapText="1"/>
    </xf>
    <xf numFmtId="17" fontId="2" fillId="9" borderId="48" xfId="0" applyNumberFormat="1" applyFont="1" applyFill="1" applyBorder="1" applyAlignment="1">
      <alignment horizontal="center" vertical="center" wrapText="1"/>
    </xf>
    <xf numFmtId="0" fontId="32" fillId="6" borderId="40" xfId="0" applyFont="1" applyFill="1" applyBorder="1" applyAlignment="1">
      <alignment horizontal="center" vertical="center" wrapText="1"/>
    </xf>
    <xf numFmtId="0" fontId="32" fillId="6" borderId="33" xfId="0" applyFont="1" applyFill="1" applyBorder="1" applyAlignment="1">
      <alignment horizontal="center" vertical="center" wrapText="1"/>
    </xf>
    <xf numFmtId="0" fontId="32" fillId="6" borderId="62" xfId="0" applyFont="1" applyFill="1" applyBorder="1" applyAlignment="1">
      <alignment horizontal="center" vertical="center" wrapText="1"/>
    </xf>
    <xf numFmtId="44" fontId="0" fillId="5" borderId="8" xfId="0" applyNumberFormat="1" applyFill="1" applyBorder="1" applyAlignment="1">
      <alignment horizontal="center" vertical="center"/>
    </xf>
    <xf numFmtId="44" fontId="0" fillId="5" borderId="13" xfId="0" applyNumberForma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9" fontId="2" fillId="9" borderId="62" xfId="0" applyNumberFormat="1" applyFont="1" applyFill="1" applyBorder="1" applyAlignment="1">
      <alignment horizontal="center" vertical="center" wrapText="1"/>
    </xf>
    <xf numFmtId="9" fontId="2" fillId="9" borderId="16" xfId="0" applyNumberFormat="1" applyFont="1" applyFill="1" applyBorder="1" applyAlignment="1">
      <alignment horizontal="center" vertical="center" wrapText="1"/>
    </xf>
    <xf numFmtId="0" fontId="21" fillId="7" borderId="2" xfId="0" applyFont="1" applyFill="1" applyBorder="1" applyAlignment="1">
      <alignment horizontal="center" vertical="center" wrapText="1"/>
    </xf>
    <xf numFmtId="0" fontId="21" fillId="7" borderId="63" xfId="0" applyFont="1" applyFill="1" applyBorder="1" applyAlignment="1">
      <alignment horizontal="center" vertical="center" wrapText="1"/>
    </xf>
    <xf numFmtId="17" fontId="32" fillId="7" borderId="42" xfId="0" applyNumberFormat="1" applyFont="1" applyFill="1" applyBorder="1" applyAlignment="1">
      <alignment horizontal="center" vertical="center" wrapText="1"/>
    </xf>
    <xf numFmtId="17" fontId="32" fillId="7" borderId="31" xfId="0" applyNumberFormat="1" applyFont="1" applyFill="1" applyBorder="1" applyAlignment="1">
      <alignment horizontal="center" vertical="center" wrapText="1"/>
    </xf>
    <xf numFmtId="9" fontId="2" fillId="7" borderId="45" xfId="0" applyNumberFormat="1" applyFont="1" applyFill="1" applyBorder="1" applyAlignment="1">
      <alignment horizontal="center" vertical="center" wrapText="1"/>
    </xf>
    <xf numFmtId="9" fontId="2" fillId="7" borderId="50" xfId="0" applyNumberFormat="1" applyFont="1" applyFill="1" applyBorder="1" applyAlignment="1">
      <alignment horizontal="center" vertical="center" wrapText="1"/>
    </xf>
    <xf numFmtId="0" fontId="32" fillId="6" borderId="53" xfId="0" applyFont="1" applyFill="1" applyBorder="1" applyAlignment="1">
      <alignment horizontal="center" vertical="center" wrapText="1"/>
    </xf>
    <xf numFmtId="0" fontId="30" fillId="7" borderId="2" xfId="0" applyFont="1" applyFill="1" applyBorder="1" applyAlignment="1">
      <alignment horizontal="center" vertical="center" wrapText="1"/>
    </xf>
    <xf numFmtId="0" fontId="30" fillId="7" borderId="63" xfId="0" applyFont="1" applyFill="1" applyBorder="1" applyAlignment="1">
      <alignment horizontal="center" vertical="center" wrapText="1"/>
    </xf>
    <xf numFmtId="17" fontId="2" fillId="7" borderId="2" xfId="0" applyNumberFormat="1" applyFont="1" applyFill="1" applyBorder="1" applyAlignment="1">
      <alignment horizontal="center" vertical="center" wrapText="1"/>
    </xf>
    <xf numFmtId="0" fontId="2" fillId="7" borderId="63" xfId="0" applyFont="1" applyFill="1" applyBorder="1" applyAlignment="1">
      <alignment horizontal="center" vertical="center" wrapText="1"/>
    </xf>
    <xf numFmtId="9" fontId="2" fillId="7" borderId="2" xfId="0" applyNumberFormat="1" applyFont="1" applyFill="1" applyBorder="1" applyAlignment="1">
      <alignment horizontal="center" vertical="center" wrapText="1"/>
    </xf>
    <xf numFmtId="9" fontId="2" fillId="7" borderId="63" xfId="0" applyNumberFormat="1" applyFont="1" applyFill="1" applyBorder="1" applyAlignment="1">
      <alignment horizontal="center" vertical="center" wrapText="1"/>
    </xf>
    <xf numFmtId="10" fontId="2" fillId="2" borderId="40" xfId="0" applyNumberFormat="1" applyFont="1" applyFill="1" applyBorder="1" applyAlignment="1">
      <alignment horizontal="center" vertical="center" wrapText="1"/>
    </xf>
    <xf numFmtId="10" fontId="2" fillId="2" borderId="72" xfId="0" applyNumberFormat="1" applyFont="1" applyFill="1" applyBorder="1" applyAlignment="1">
      <alignment horizontal="center" vertical="center" wrapText="1"/>
    </xf>
    <xf numFmtId="17" fontId="0" fillId="7" borderId="19" xfId="0" applyNumberFormat="1" applyFont="1" applyFill="1" applyBorder="1" applyAlignment="1">
      <alignment horizontal="center" vertical="center"/>
    </xf>
    <xf numFmtId="17" fontId="0" fillId="7" borderId="9" xfId="0" applyNumberFormat="1" applyFont="1" applyFill="1" applyBorder="1" applyAlignment="1">
      <alignment horizontal="center" vertical="center"/>
    </xf>
    <xf numFmtId="17" fontId="1" fillId="2" borderId="17" xfId="1" applyNumberFormat="1" applyFont="1" applyFill="1" applyBorder="1" applyAlignment="1">
      <alignment horizontal="center" vertical="center"/>
    </xf>
    <xf numFmtId="17" fontId="1" fillId="2" borderId="20" xfId="1" applyNumberFormat="1" applyFont="1" applyFill="1" applyBorder="1" applyAlignment="1">
      <alignment horizontal="center" vertical="center"/>
    </xf>
    <xf numFmtId="0" fontId="0" fillId="7" borderId="8" xfId="0" applyFont="1" applyFill="1" applyBorder="1" applyAlignment="1">
      <alignment horizontal="center" vertical="center" wrapText="1"/>
    </xf>
    <xf numFmtId="0" fontId="0" fillId="7" borderId="13" xfId="0" applyFont="1" applyFill="1" applyBorder="1" applyAlignment="1">
      <alignment horizontal="center" vertical="center" wrapText="1"/>
    </xf>
    <xf numFmtId="0" fontId="0" fillId="7" borderId="12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29" fillId="5" borderId="26" xfId="0" applyFont="1" applyFill="1" applyBorder="1" applyAlignment="1">
      <alignment horizontal="center" vertical="center" wrapText="1"/>
    </xf>
    <xf numFmtId="0" fontId="29" fillId="5" borderId="15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/>
    </xf>
    <xf numFmtId="44" fontId="0" fillId="2" borderId="8" xfId="0" applyNumberFormat="1" applyFill="1" applyBorder="1" applyAlignment="1">
      <alignment horizontal="center" vertical="center"/>
    </xf>
    <xf numFmtId="44" fontId="0" fillId="2" borderId="13" xfId="0" applyNumberFormat="1" applyFill="1" applyBorder="1" applyAlignment="1">
      <alignment horizontal="center" vertical="center"/>
    </xf>
    <xf numFmtId="17" fontId="1" fillId="7" borderId="8" xfId="1" applyNumberFormat="1" applyFont="1" applyFill="1" applyBorder="1" applyAlignment="1">
      <alignment horizontal="center" vertical="center"/>
    </xf>
    <xf numFmtId="17" fontId="1" fillId="7" borderId="12" xfId="1" applyNumberFormat="1" applyFont="1" applyFill="1" applyBorder="1" applyAlignment="1">
      <alignment horizontal="center" vertical="center"/>
    </xf>
    <xf numFmtId="17" fontId="1" fillId="7" borderId="17" xfId="1" applyNumberFormat="1" applyFont="1" applyFill="1" applyBorder="1" applyAlignment="1">
      <alignment horizontal="center" vertical="center"/>
    </xf>
    <xf numFmtId="17" fontId="1" fillId="7" borderId="18" xfId="1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9" fontId="2" fillId="7" borderId="47" xfId="0" applyNumberFormat="1" applyFont="1" applyFill="1" applyBorder="1" applyAlignment="1">
      <alignment horizontal="center" vertical="center" wrapText="1"/>
    </xf>
    <xf numFmtId="0" fontId="0" fillId="6" borderId="53" xfId="0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17" fontId="0" fillId="7" borderId="17" xfId="0" applyNumberFormat="1" applyFont="1" applyFill="1" applyBorder="1" applyAlignment="1">
      <alignment horizontal="center" vertical="center"/>
    </xf>
    <xf numFmtId="17" fontId="0" fillId="7" borderId="20" xfId="0" applyNumberFormat="1" applyFont="1" applyFill="1" applyBorder="1" applyAlignment="1">
      <alignment horizontal="center" vertical="center"/>
    </xf>
    <xf numFmtId="0" fontId="32" fillId="6" borderId="32" xfId="0" applyFont="1" applyFill="1" applyBorder="1" applyAlignment="1">
      <alignment horizontal="center" vertical="center" wrapText="1"/>
    </xf>
    <xf numFmtId="0" fontId="32" fillId="6" borderId="50" xfId="0" applyFont="1" applyFill="1" applyBorder="1" applyAlignment="1">
      <alignment horizontal="center" vertical="center" wrapText="1"/>
    </xf>
    <xf numFmtId="17" fontId="32" fillId="7" borderId="2" xfId="0" applyNumberFormat="1" applyFont="1" applyFill="1" applyBorder="1" applyAlignment="1">
      <alignment horizontal="center" vertical="center" wrapText="1"/>
    </xf>
    <xf numFmtId="17" fontId="32" fillId="7" borderId="63" xfId="0" applyNumberFormat="1" applyFont="1" applyFill="1" applyBorder="1" applyAlignment="1">
      <alignment horizontal="center" vertical="center" wrapText="1"/>
    </xf>
    <xf numFmtId="0" fontId="20" fillId="9" borderId="45" xfId="0" applyFont="1" applyFill="1" applyBorder="1" applyAlignment="1">
      <alignment horizontal="center" vertical="center"/>
    </xf>
    <xf numFmtId="0" fontId="20" fillId="9" borderId="46" xfId="0" applyFont="1" applyFill="1" applyBorder="1" applyAlignment="1">
      <alignment horizontal="center" vertical="center"/>
    </xf>
    <xf numFmtId="0" fontId="20" fillId="7" borderId="45" xfId="0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horizontal="center" vertical="center"/>
    </xf>
    <xf numFmtId="0" fontId="20" fillId="7" borderId="5" xfId="0" applyFont="1" applyFill="1" applyBorder="1" applyAlignment="1">
      <alignment horizontal="center" vertical="center"/>
    </xf>
    <xf numFmtId="9" fontId="2" fillId="9" borderId="63" xfId="0" applyNumberFormat="1" applyFont="1" applyFill="1" applyBorder="1" applyAlignment="1">
      <alignment horizontal="center" vertical="center" wrapText="1"/>
    </xf>
    <xf numFmtId="9" fontId="2" fillId="9" borderId="48" xfId="0" applyNumberFormat="1" applyFont="1" applyFill="1" applyBorder="1" applyAlignment="1">
      <alignment horizontal="center" vertical="center" wrapText="1"/>
    </xf>
    <xf numFmtId="17" fontId="2" fillId="7" borderId="12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164" fontId="2" fillId="2" borderId="21" xfId="1" applyNumberFormat="1" applyFont="1" applyFill="1" applyBorder="1" applyAlignment="1">
      <alignment horizontal="center" vertical="center"/>
    </xf>
    <xf numFmtId="164" fontId="2" fillId="2" borderId="36" xfId="1" applyNumberFormat="1" applyFont="1" applyFill="1" applyBorder="1" applyAlignment="1">
      <alignment horizontal="center" vertical="center"/>
    </xf>
    <xf numFmtId="164" fontId="2" fillId="2" borderId="7" xfId="1" applyNumberFormat="1" applyFont="1" applyFill="1" applyBorder="1" applyAlignment="1">
      <alignment horizontal="center" vertical="center"/>
    </xf>
    <xf numFmtId="164" fontId="3" fillId="7" borderId="52" xfId="1" applyNumberFormat="1" applyFont="1" applyFill="1" applyBorder="1" applyAlignment="1">
      <alignment horizontal="center" vertical="center"/>
    </xf>
    <xf numFmtId="164" fontId="3" fillId="7" borderId="36" xfId="1" applyNumberFormat="1" applyFont="1" applyFill="1" applyBorder="1" applyAlignment="1">
      <alignment horizontal="center" vertical="center"/>
    </xf>
    <xf numFmtId="164" fontId="3" fillId="7" borderId="7" xfId="1" applyNumberFormat="1" applyFont="1" applyFill="1" applyBorder="1" applyAlignment="1">
      <alignment horizontal="center" vertical="center"/>
    </xf>
    <xf numFmtId="164" fontId="2" fillId="7" borderId="21" xfId="0" applyNumberFormat="1" applyFont="1" applyFill="1" applyBorder="1" applyAlignment="1">
      <alignment horizontal="center" vertical="center"/>
    </xf>
    <xf numFmtId="164" fontId="2" fillId="7" borderId="7" xfId="0" applyNumberFormat="1" applyFont="1" applyFill="1" applyBorder="1" applyAlignment="1">
      <alignment horizontal="center" vertical="center"/>
    </xf>
    <xf numFmtId="164" fontId="2" fillId="2" borderId="21" xfId="0" applyNumberFormat="1" applyFont="1" applyFill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44" fontId="2" fillId="7" borderId="21" xfId="0" applyNumberFormat="1" applyFont="1" applyFill="1" applyBorder="1" applyAlignment="1">
      <alignment horizontal="center" vertical="center"/>
    </xf>
    <xf numFmtId="44" fontId="2" fillId="7" borderId="36" xfId="0" applyNumberFormat="1" applyFont="1" applyFill="1" applyBorder="1" applyAlignment="1">
      <alignment horizontal="center" vertical="center"/>
    </xf>
    <xf numFmtId="164" fontId="34" fillId="2" borderId="8" xfId="0" applyNumberFormat="1" applyFont="1" applyFill="1" applyBorder="1" applyAlignment="1">
      <alignment horizontal="center" vertical="center"/>
    </xf>
    <xf numFmtId="164" fontId="34" fillId="2" borderId="13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1" fillId="2" borderId="58" xfId="0" applyFont="1" applyFill="1" applyBorder="1" applyAlignment="1">
      <alignment horizontal="center" vertical="center"/>
    </xf>
    <xf numFmtId="0" fontId="21" fillId="2" borderId="70" xfId="0" applyFont="1" applyFill="1" applyBorder="1" applyAlignment="1">
      <alignment horizontal="center" vertical="center"/>
    </xf>
    <xf numFmtId="0" fontId="3" fillId="8" borderId="28" xfId="2" applyFont="1" applyFill="1" applyBorder="1" applyAlignment="1">
      <alignment horizontal="center" vertical="center"/>
    </xf>
    <xf numFmtId="0" fontId="3" fillId="8" borderId="0" xfId="2" applyFont="1" applyFill="1" applyBorder="1" applyAlignment="1">
      <alignment horizontal="center" vertical="center"/>
    </xf>
    <xf numFmtId="0" fontId="3" fillId="8" borderId="77" xfId="2" applyFont="1" applyFill="1" applyBorder="1" applyAlignment="1">
      <alignment horizontal="center" vertical="center"/>
    </xf>
    <xf numFmtId="0" fontId="21" fillId="8" borderId="19" xfId="0" applyFont="1" applyFill="1" applyBorder="1" applyAlignment="1">
      <alignment horizontal="center" vertical="center"/>
    </xf>
    <xf numFmtId="0" fontId="21" fillId="8" borderId="9" xfId="0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horizontal="center" vertical="center"/>
    </xf>
    <xf numFmtId="0" fontId="21" fillId="8" borderId="77" xfId="0" applyFont="1" applyFill="1" applyBorder="1" applyAlignment="1">
      <alignment horizontal="center" vertical="center"/>
    </xf>
    <xf numFmtId="44" fontId="0" fillId="7" borderId="70" xfId="0" applyNumberFormat="1" applyFill="1" applyBorder="1" applyAlignment="1">
      <alignment horizontal="center" vertical="center"/>
    </xf>
    <xf numFmtId="44" fontId="0" fillId="7" borderId="75" xfId="0" applyNumberFormat="1" applyFill="1" applyBorder="1" applyAlignment="1">
      <alignment horizontal="center" vertical="center"/>
    </xf>
    <xf numFmtId="0" fontId="3" fillId="9" borderId="8" xfId="2" applyFont="1" applyFill="1" applyBorder="1" applyAlignment="1">
      <alignment horizontal="center" vertical="center"/>
    </xf>
    <xf numFmtId="0" fontId="3" fillId="9" borderId="13" xfId="2" applyFont="1" applyFill="1" applyBorder="1" applyAlignment="1">
      <alignment horizontal="center" vertical="center"/>
    </xf>
    <xf numFmtId="17" fontId="0" fillId="2" borderId="63" xfId="0" applyNumberForma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44" fontId="0" fillId="7" borderId="48" xfId="0" applyNumberFormat="1" applyFill="1" applyBorder="1" applyAlignment="1">
      <alignment horizontal="center" vertical="center"/>
    </xf>
    <xf numFmtId="44" fontId="0" fillId="7" borderId="2" xfId="0" applyNumberFormat="1" applyFill="1" applyBorder="1" applyAlignment="1">
      <alignment horizontal="center" vertical="center"/>
    </xf>
    <xf numFmtId="0" fontId="36" fillId="7" borderId="58" xfId="0" applyFont="1" applyFill="1" applyBorder="1" applyAlignment="1">
      <alignment horizontal="center" vertical="center"/>
    </xf>
    <xf numFmtId="0" fontId="36" fillId="7" borderId="59" xfId="0" applyFont="1" applyFill="1" applyBorder="1" applyAlignment="1">
      <alignment horizontal="center" vertical="center"/>
    </xf>
    <xf numFmtId="0" fontId="36" fillId="7" borderId="60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  <xf numFmtId="164" fontId="0" fillId="5" borderId="14" xfId="0" applyNumberFormat="1" applyFill="1" applyBorder="1" applyAlignment="1">
      <alignment horizontal="center" vertical="center"/>
    </xf>
    <xf numFmtId="164" fontId="0" fillId="5" borderId="23" xfId="0" applyNumberFormat="1" applyFill="1" applyBorder="1" applyAlignment="1">
      <alignment horizontal="center" vertical="center"/>
    </xf>
    <xf numFmtId="0" fontId="36" fillId="2" borderId="7" xfId="0" applyFont="1" applyFill="1" applyBorder="1" applyAlignment="1">
      <alignment horizontal="center" vertical="center"/>
    </xf>
    <xf numFmtId="0" fontId="36" fillId="2" borderId="63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63" xfId="0" applyFill="1" applyBorder="1" applyAlignment="1">
      <alignment horizontal="center" vertical="center"/>
    </xf>
    <xf numFmtId="44" fontId="0" fillId="5" borderId="70" xfId="0" applyNumberFormat="1" applyFill="1" applyBorder="1" applyAlignment="1">
      <alignment horizontal="center" vertical="center"/>
    </xf>
    <xf numFmtId="44" fontId="0" fillId="5" borderId="75" xfId="0" applyNumberFormat="1" applyFill="1" applyBorder="1" applyAlignment="1">
      <alignment horizontal="center" vertical="center"/>
    </xf>
    <xf numFmtId="44" fontId="0" fillId="5" borderId="63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7" fillId="0" borderId="1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8" borderId="8" xfId="0" applyFont="1" applyFill="1" applyBorder="1" applyAlignment="1">
      <alignment horizontal="center" vertical="center"/>
    </xf>
    <xf numFmtId="0" fontId="17" fillId="8" borderId="13" xfId="0" applyFont="1" applyFill="1" applyBorder="1" applyAlignment="1">
      <alignment horizontal="center" vertical="center"/>
    </xf>
    <xf numFmtId="0" fontId="17" fillId="8" borderId="12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6" fillId="7" borderId="58" xfId="0" applyFont="1" applyFill="1" applyBorder="1" applyAlignment="1">
      <alignment horizontal="center" vertical="center"/>
    </xf>
    <xf numFmtId="0" fontId="16" fillId="7" borderId="59" xfId="0" applyFont="1" applyFill="1" applyBorder="1" applyAlignment="1">
      <alignment horizontal="center" vertical="center"/>
    </xf>
    <xf numFmtId="0" fontId="16" fillId="7" borderId="60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16" fillId="2" borderId="58" xfId="0" applyFont="1" applyFill="1" applyBorder="1" applyAlignment="1">
      <alignment horizontal="center" vertical="center"/>
    </xf>
    <xf numFmtId="0" fontId="16" fillId="2" borderId="59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68" xfId="0" applyFill="1" applyBorder="1" applyAlignment="1">
      <alignment horizontal="center" vertical="center"/>
    </xf>
    <xf numFmtId="164" fontId="0" fillId="2" borderId="27" xfId="0" applyNumberFormat="1" applyFill="1" applyBorder="1" applyAlignment="1">
      <alignment horizontal="center" vertical="center"/>
    </xf>
    <xf numFmtId="164" fontId="0" fillId="2" borderId="74" xfId="0" applyNumberFormat="1" applyFill="1" applyBorder="1" applyAlignment="1">
      <alignment horizontal="center" vertical="center"/>
    </xf>
    <xf numFmtId="169" fontId="32" fillId="5" borderId="21" xfId="0" applyNumberFormat="1" applyFont="1" applyFill="1" applyBorder="1" applyAlignment="1">
      <alignment horizontal="center" vertical="center" wrapText="1"/>
    </xf>
    <xf numFmtId="169" fontId="32" fillId="5" borderId="7" xfId="0" applyNumberFormat="1" applyFont="1" applyFill="1" applyBorder="1" applyAlignment="1">
      <alignment horizontal="center" vertical="center" wrapText="1"/>
    </xf>
    <xf numFmtId="0" fontId="32" fillId="5" borderId="5" xfId="0" applyFont="1" applyFill="1" applyBorder="1" applyAlignment="1">
      <alignment horizontal="center" vertical="center" wrapText="1"/>
    </xf>
    <xf numFmtId="0" fontId="32" fillId="5" borderId="79" xfId="0" applyFont="1" applyFill="1" applyBorder="1" applyAlignment="1">
      <alignment horizontal="center" vertical="center" wrapText="1"/>
    </xf>
    <xf numFmtId="169" fontId="0" fillId="5" borderId="63" xfId="0" applyNumberForma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 vertical="center"/>
    </xf>
    <xf numFmtId="0" fontId="36" fillId="4" borderId="8" xfId="0" applyFont="1" applyFill="1" applyBorder="1" applyAlignment="1">
      <alignment horizontal="center" vertical="center"/>
    </xf>
    <xf numFmtId="0" fontId="36" fillId="4" borderId="13" xfId="0" applyFont="1" applyFill="1" applyBorder="1" applyAlignment="1">
      <alignment horizontal="center" vertical="center"/>
    </xf>
    <xf numFmtId="0" fontId="36" fillId="4" borderId="12" xfId="0" applyFont="1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67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169" fontId="0" fillId="5" borderId="63" xfId="0" applyNumberFormat="1" applyFont="1" applyFill="1" applyBorder="1" applyAlignment="1">
      <alignment horizontal="center" vertical="center"/>
    </xf>
    <xf numFmtId="169" fontId="34" fillId="5" borderId="63" xfId="0" applyNumberFormat="1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67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16" fillId="5" borderId="58" xfId="0" applyFont="1" applyFill="1" applyBorder="1" applyAlignment="1">
      <alignment horizontal="center" vertical="center"/>
    </xf>
    <xf numFmtId="0" fontId="16" fillId="5" borderId="59" xfId="0" applyFont="1" applyFill="1" applyBorder="1" applyAlignment="1">
      <alignment horizontal="center" vertical="center"/>
    </xf>
    <xf numFmtId="0" fontId="16" fillId="5" borderId="60" xfId="0" applyFont="1" applyFill="1" applyBorder="1" applyAlignment="1">
      <alignment horizontal="center" vertical="center"/>
    </xf>
    <xf numFmtId="0" fontId="20" fillId="5" borderId="45" xfId="0" applyFont="1" applyFill="1" applyBorder="1" applyAlignment="1">
      <alignment horizontal="center" vertical="center"/>
    </xf>
    <xf numFmtId="0" fontId="20" fillId="5" borderId="46" xfId="0" applyFont="1" applyFill="1" applyBorder="1" applyAlignment="1">
      <alignment horizontal="center" vertical="center"/>
    </xf>
    <xf numFmtId="0" fontId="20" fillId="5" borderId="50" xfId="0" applyFont="1" applyFill="1" applyBorder="1" applyAlignment="1">
      <alignment horizontal="center" vertical="center"/>
    </xf>
    <xf numFmtId="0" fontId="20" fillId="5" borderId="64" xfId="0" applyFont="1" applyFill="1" applyBorder="1" applyAlignment="1">
      <alignment horizontal="center" vertical="center"/>
    </xf>
    <xf numFmtId="0" fontId="20" fillId="5" borderId="47" xfId="0" applyFont="1" applyFill="1" applyBorder="1" applyAlignment="1">
      <alignment horizontal="center" vertical="center"/>
    </xf>
    <xf numFmtId="0" fontId="20" fillId="5" borderId="49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46" xfId="0" applyFont="1" applyFill="1" applyBorder="1" applyAlignment="1">
      <alignment horizontal="center" vertical="center"/>
    </xf>
    <xf numFmtId="0" fontId="18" fillId="4" borderId="50" xfId="0" applyFont="1" applyFill="1" applyBorder="1" applyAlignment="1">
      <alignment horizontal="center" vertical="center"/>
    </xf>
    <xf numFmtId="0" fontId="18" fillId="4" borderId="63" xfId="0" applyFont="1" applyFill="1" applyBorder="1" applyAlignment="1">
      <alignment horizontal="center" vertical="center"/>
    </xf>
    <xf numFmtId="0" fontId="18" fillId="4" borderId="64" xfId="0" applyFont="1" applyFill="1" applyBorder="1" applyAlignment="1">
      <alignment horizontal="center" vertical="center"/>
    </xf>
    <xf numFmtId="0" fontId="18" fillId="4" borderId="47" xfId="0" applyFont="1" applyFill="1" applyBorder="1" applyAlignment="1">
      <alignment horizontal="center" vertical="center"/>
    </xf>
    <xf numFmtId="0" fontId="18" fillId="4" borderId="48" xfId="0" applyFont="1" applyFill="1" applyBorder="1" applyAlignment="1">
      <alignment horizontal="center" vertical="center"/>
    </xf>
    <xf numFmtId="0" fontId="18" fillId="4" borderId="49" xfId="0" applyFont="1" applyFill="1" applyBorder="1" applyAlignment="1">
      <alignment horizontal="center" vertical="center"/>
    </xf>
    <xf numFmtId="0" fontId="16" fillId="4" borderId="58" xfId="0" applyFont="1" applyFill="1" applyBorder="1" applyAlignment="1">
      <alignment horizontal="center" vertical="center"/>
    </xf>
    <xf numFmtId="0" fontId="16" fillId="4" borderId="60" xfId="0" applyFont="1" applyFill="1" applyBorder="1" applyAlignment="1">
      <alignment horizontal="center" vertical="center"/>
    </xf>
    <xf numFmtId="0" fontId="19" fillId="5" borderId="19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5" borderId="28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6" fillId="4" borderId="45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46" xfId="0" applyFont="1" applyFill="1" applyBorder="1" applyAlignment="1">
      <alignment horizontal="center" vertical="center"/>
    </xf>
    <xf numFmtId="0" fontId="6" fillId="4" borderId="50" xfId="0" applyFont="1" applyFill="1" applyBorder="1" applyAlignment="1">
      <alignment horizontal="center" vertical="center"/>
    </xf>
    <xf numFmtId="0" fontId="6" fillId="4" borderId="63" xfId="0" applyFont="1" applyFill="1" applyBorder="1" applyAlignment="1">
      <alignment horizontal="center" vertical="center"/>
    </xf>
    <xf numFmtId="0" fontId="6" fillId="4" borderId="64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/>
    </xf>
    <xf numFmtId="0" fontId="6" fillId="4" borderId="49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/>
    </xf>
    <xf numFmtId="0" fontId="36" fillId="5" borderId="13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 vertical="center"/>
    </xf>
    <xf numFmtId="169" fontId="34" fillId="4" borderId="63" xfId="0" applyNumberFormat="1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/>
    </xf>
    <xf numFmtId="0" fontId="6" fillId="5" borderId="63" xfId="0" applyFont="1" applyFill="1" applyBorder="1" applyAlignment="1">
      <alignment horizontal="center" vertical="center"/>
    </xf>
    <xf numFmtId="0" fontId="24" fillId="5" borderId="4" xfId="0" applyFont="1" applyFill="1" applyBorder="1" applyAlignment="1">
      <alignment horizontal="center" vertical="center"/>
    </xf>
    <xf numFmtId="0" fontId="24" fillId="5" borderId="14" xfId="0" applyFont="1" applyFill="1" applyBorder="1" applyAlignment="1">
      <alignment horizontal="center" vertical="center"/>
    </xf>
    <xf numFmtId="0" fontId="24" fillId="5" borderId="22" xfId="0" applyFont="1" applyFill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/>
    </xf>
    <xf numFmtId="0" fontId="25" fillId="4" borderId="9" xfId="0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 wrapText="1"/>
    </xf>
    <xf numFmtId="0" fontId="25" fillId="4" borderId="20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/>
    </xf>
    <xf numFmtId="0" fontId="6" fillId="5" borderId="69" xfId="0" applyFont="1" applyFill="1" applyBorder="1" applyAlignment="1">
      <alignment horizontal="center" vertical="center"/>
    </xf>
    <xf numFmtId="0" fontId="6" fillId="5" borderId="7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8" fillId="4" borderId="69" xfId="0" applyFont="1" applyFill="1" applyBorder="1" applyAlignment="1">
      <alignment horizontal="center" vertical="center"/>
    </xf>
    <xf numFmtId="0" fontId="6" fillId="5" borderId="45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69" fontId="34" fillId="4" borderId="48" xfId="0" applyNumberFormat="1" applyFont="1" applyFill="1" applyBorder="1" applyAlignment="1">
      <alignment horizontal="center" vertical="center"/>
    </xf>
    <xf numFmtId="0" fontId="36" fillId="2" borderId="7" xfId="0" applyFont="1" applyFill="1" applyBorder="1" applyAlignment="1">
      <alignment horizontal="center"/>
    </xf>
    <xf numFmtId="0" fontId="36" fillId="2" borderId="63" xfId="0" applyFont="1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63" xfId="0" applyFill="1" applyBorder="1" applyAlignment="1">
      <alignment horizontal="center"/>
    </xf>
    <xf numFmtId="0" fontId="0" fillId="8" borderId="14" xfId="0" applyFill="1" applyBorder="1" applyAlignment="1">
      <alignment horizontal="center" vertical="center" wrapText="1"/>
    </xf>
    <xf numFmtId="0" fontId="0" fillId="8" borderId="22" xfId="0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horizontal="center" vertical="center"/>
    </xf>
    <xf numFmtId="0" fontId="19" fillId="4" borderId="19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17" xfId="0" applyFont="1" applyFill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/>
    </xf>
    <xf numFmtId="0" fontId="19" fillId="4" borderId="18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164" fontId="0" fillId="6" borderId="5" xfId="0" applyNumberFormat="1" applyFill="1" applyBorder="1" applyAlignment="1">
      <alignment horizontal="center" vertical="center"/>
    </xf>
    <xf numFmtId="0" fontId="0" fillId="6" borderId="79" xfId="0" applyFill="1" applyBorder="1" applyAlignment="1">
      <alignment horizontal="center" vertical="center"/>
    </xf>
    <xf numFmtId="164" fontId="0" fillId="6" borderId="72" xfId="0" applyNumberFormat="1" applyFill="1" applyBorder="1" applyAlignment="1">
      <alignment horizontal="center" vertical="center"/>
    </xf>
    <xf numFmtId="164" fontId="0" fillId="6" borderId="78" xfId="0" applyNumberFormat="1" applyFill="1" applyBorder="1" applyAlignment="1">
      <alignment horizontal="center" vertical="center"/>
    </xf>
    <xf numFmtId="164" fontId="0" fillId="6" borderId="33" xfId="0" applyNumberFormat="1" applyFill="1" applyBorder="1" applyAlignment="1">
      <alignment horizontal="center" vertical="center"/>
    </xf>
    <xf numFmtId="164" fontId="0" fillId="6" borderId="34" xfId="0" applyNumberFormat="1" applyFill="1" applyBorder="1" applyAlignment="1">
      <alignment horizontal="center" vertical="center"/>
    </xf>
    <xf numFmtId="164" fontId="0" fillId="6" borderId="79" xfId="0" applyNumberFormat="1" applyFill="1" applyBorder="1" applyAlignment="1">
      <alignment horizontal="center" vertical="center"/>
    </xf>
    <xf numFmtId="44" fontId="0" fillId="6" borderId="27" xfId="1" applyFont="1" applyFill="1" applyBorder="1" applyAlignment="1">
      <alignment horizontal="center" vertical="center"/>
    </xf>
    <xf numFmtId="44" fontId="0" fillId="6" borderId="74" xfId="1" applyFont="1" applyFill="1" applyBorder="1" applyAlignment="1">
      <alignment horizontal="center" vertical="center"/>
    </xf>
    <xf numFmtId="164" fontId="20" fillId="2" borderId="45" xfId="1" applyNumberFormat="1" applyFont="1" applyFill="1" applyBorder="1" applyAlignment="1">
      <alignment horizontal="center" vertical="center"/>
    </xf>
    <xf numFmtId="164" fontId="20" fillId="2" borderId="2" xfId="1" applyNumberFormat="1" applyFont="1" applyFill="1" applyBorder="1" applyAlignment="1">
      <alignment horizontal="center" vertical="center"/>
    </xf>
    <xf numFmtId="164" fontId="20" fillId="2" borderId="46" xfId="1" applyNumberFormat="1" applyFont="1" applyFill="1" applyBorder="1" applyAlignment="1">
      <alignment horizontal="center" vertical="center"/>
    </xf>
    <xf numFmtId="0" fontId="18" fillId="6" borderId="38" xfId="0" applyFont="1" applyFill="1" applyBorder="1" applyAlignment="1">
      <alignment horizontal="center" vertical="center"/>
    </xf>
    <xf numFmtId="0" fontId="18" fillId="6" borderId="37" xfId="0" applyFont="1" applyFill="1" applyBorder="1" applyAlignment="1">
      <alignment horizontal="center" vertical="center"/>
    </xf>
    <xf numFmtId="0" fontId="18" fillId="6" borderId="30" xfId="0" applyFont="1" applyFill="1" applyBorder="1" applyAlignment="1">
      <alignment horizontal="center" vertical="center"/>
    </xf>
    <xf numFmtId="0" fontId="18" fillId="6" borderId="35" xfId="0" applyFont="1" applyFill="1" applyBorder="1" applyAlignment="1">
      <alignment horizontal="center" vertical="center"/>
    </xf>
    <xf numFmtId="164" fontId="27" fillId="7" borderId="8" xfId="1" applyNumberFormat="1" applyFont="1" applyFill="1" applyBorder="1" applyAlignment="1">
      <alignment horizontal="center" vertical="center"/>
    </xf>
    <xf numFmtId="164" fontId="27" fillId="7" borderId="13" xfId="1" applyNumberFormat="1" applyFont="1" applyFill="1" applyBorder="1" applyAlignment="1">
      <alignment horizontal="center" vertical="center"/>
    </xf>
    <xf numFmtId="164" fontId="20" fillId="2" borderId="58" xfId="1" applyNumberFormat="1" applyFont="1" applyFill="1" applyBorder="1" applyAlignment="1">
      <alignment horizontal="center" vertical="center"/>
    </xf>
    <xf numFmtId="164" fontId="20" fillId="2" borderId="59" xfId="1" applyNumberFormat="1" applyFont="1" applyFill="1" applyBorder="1" applyAlignment="1">
      <alignment horizontal="center" vertical="center"/>
    </xf>
    <xf numFmtId="164" fontId="20" fillId="2" borderId="70" xfId="1" applyNumberFormat="1" applyFont="1" applyFill="1" applyBorder="1" applyAlignment="1">
      <alignment horizontal="center" vertical="center"/>
    </xf>
    <xf numFmtId="164" fontId="0" fillId="4" borderId="48" xfId="0" applyNumberFormat="1" applyFont="1" applyFill="1" applyBorder="1" applyAlignment="1">
      <alignment horizontal="center" vertical="center"/>
    </xf>
    <xf numFmtId="164" fontId="0" fillId="4" borderId="63" xfId="0" applyNumberFormat="1" applyFont="1" applyFill="1" applyBorder="1" applyAlignment="1">
      <alignment horizontal="center" vertical="center"/>
    </xf>
    <xf numFmtId="164" fontId="0" fillId="4" borderId="2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 wrapText="1"/>
    </xf>
    <xf numFmtId="0" fontId="0" fillId="4" borderId="33" xfId="0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  <xf numFmtId="0" fontId="32" fillId="4" borderId="53" xfId="0" applyFont="1" applyFill="1" applyBorder="1" applyAlignment="1">
      <alignment horizontal="center" vertical="center" wrapText="1"/>
    </xf>
    <xf numFmtId="0" fontId="32" fillId="4" borderId="31" xfId="0" applyFont="1" applyFill="1" applyBorder="1" applyAlignment="1">
      <alignment horizontal="center" vertical="center" wrapText="1"/>
    </xf>
    <xf numFmtId="0" fontId="32" fillId="4" borderId="77" xfId="0" applyFont="1" applyFill="1" applyBorder="1" applyAlignment="1">
      <alignment horizontal="center" vertical="center" wrapText="1"/>
    </xf>
    <xf numFmtId="0" fontId="32" fillId="4" borderId="34" xfId="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8" fillId="4" borderId="19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0" fontId="18" fillId="4" borderId="28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164" fontId="20" fillId="7" borderId="8" xfId="1" applyNumberFormat="1" applyFont="1" applyFill="1" applyBorder="1" applyAlignment="1">
      <alignment horizontal="center" vertical="center"/>
    </xf>
    <xf numFmtId="164" fontId="20" fillId="7" borderId="13" xfId="1" applyNumberFormat="1" applyFont="1" applyFill="1" applyBorder="1" applyAlignment="1">
      <alignment horizontal="center" vertical="center"/>
    </xf>
    <xf numFmtId="164" fontId="2" fillId="4" borderId="2" xfId="1" applyNumberFormat="1" applyFont="1" applyFill="1" applyBorder="1" applyAlignment="1">
      <alignment horizontal="center" vertical="center" wrapText="1"/>
    </xf>
    <xf numFmtId="164" fontId="2" fillId="4" borderId="62" xfId="1" applyNumberFormat="1" applyFont="1" applyFill="1" applyBorder="1" applyAlignment="1">
      <alignment horizontal="center" vertical="center" wrapText="1"/>
    </xf>
    <xf numFmtId="17" fontId="2" fillId="4" borderId="2" xfId="0" applyNumberFormat="1" applyFont="1" applyFill="1" applyBorder="1" applyAlignment="1">
      <alignment horizontal="center" vertical="center" wrapText="1"/>
    </xf>
    <xf numFmtId="17" fontId="2" fillId="4" borderId="62" xfId="0" applyNumberFormat="1" applyFont="1" applyFill="1" applyBorder="1" applyAlignment="1">
      <alignment horizontal="center" vertical="center" wrapText="1"/>
    </xf>
    <xf numFmtId="164" fontId="21" fillId="4" borderId="2" xfId="1" applyNumberFormat="1" applyFont="1" applyFill="1" applyBorder="1" applyAlignment="1">
      <alignment horizontal="center" vertical="center" wrapText="1"/>
    </xf>
    <xf numFmtId="164" fontId="21" fillId="4" borderId="62" xfId="1" applyNumberFormat="1" applyFont="1" applyFill="1" applyBorder="1" applyAlignment="1">
      <alignment horizontal="center" vertical="center" wrapText="1"/>
    </xf>
    <xf numFmtId="17" fontId="2" fillId="4" borderId="45" xfId="0" applyNumberFormat="1" applyFont="1" applyFill="1" applyBorder="1" applyAlignment="1">
      <alignment horizontal="center" vertical="center" wrapText="1"/>
    </xf>
    <xf numFmtId="17" fontId="2" fillId="4" borderId="71" xfId="0" applyNumberFormat="1" applyFont="1" applyFill="1" applyBorder="1" applyAlignment="1">
      <alignment horizontal="center" vertical="center" wrapText="1"/>
    </xf>
    <xf numFmtId="17" fontId="21" fillId="4" borderId="42" xfId="0" applyNumberFormat="1" applyFont="1" applyFill="1" applyBorder="1" applyAlignment="1">
      <alignment horizontal="center" vertical="center" wrapText="1"/>
    </xf>
    <xf numFmtId="17" fontId="21" fillId="4" borderId="16" xfId="0" applyNumberFormat="1" applyFont="1" applyFill="1" applyBorder="1" applyAlignment="1">
      <alignment horizontal="center" vertical="center" wrapText="1"/>
    </xf>
    <xf numFmtId="164" fontId="27" fillId="2" borderId="8" xfId="1" applyNumberFormat="1" applyFont="1" applyFill="1" applyBorder="1" applyAlignment="1">
      <alignment horizontal="center" vertical="center"/>
    </xf>
    <xf numFmtId="164" fontId="27" fillId="2" borderId="13" xfId="1" applyNumberFormat="1" applyFont="1" applyFill="1" applyBorder="1" applyAlignment="1">
      <alignment horizontal="center" vertical="center"/>
    </xf>
    <xf numFmtId="17" fontId="21" fillId="4" borderId="2" xfId="0" applyNumberFormat="1" applyFont="1" applyFill="1" applyBorder="1" applyAlignment="1">
      <alignment horizontal="center" vertical="center" wrapText="1"/>
    </xf>
    <xf numFmtId="17" fontId="21" fillId="4" borderId="62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0" fillId="6" borderId="63" xfId="0" applyFill="1" applyBorder="1" applyAlignment="1">
      <alignment horizontal="center" vertical="center" wrapText="1"/>
    </xf>
    <xf numFmtId="0" fontId="28" fillId="12" borderId="19" xfId="0" applyFont="1" applyFill="1" applyBorder="1" applyAlignment="1">
      <alignment horizontal="center" vertical="center"/>
    </xf>
    <xf numFmtId="0" fontId="0" fillId="12" borderId="9" xfId="0" applyFill="1" applyBorder="1" applyAlignment="1">
      <alignment horizontal="center" vertical="center"/>
    </xf>
    <xf numFmtId="0" fontId="0" fillId="12" borderId="10" xfId="0" applyFill="1" applyBorder="1" applyAlignment="1">
      <alignment horizontal="center" vertical="center"/>
    </xf>
    <xf numFmtId="0" fontId="0" fillId="12" borderId="28" xfId="0" applyFill="1" applyBorder="1" applyAlignment="1">
      <alignment horizontal="center" vertical="center"/>
    </xf>
    <xf numFmtId="0" fontId="0" fillId="12" borderId="0" xfId="0" applyFill="1" applyBorder="1" applyAlignment="1">
      <alignment horizontal="center" vertical="center"/>
    </xf>
    <xf numFmtId="0" fontId="0" fillId="12" borderId="67" xfId="0" applyFill="1" applyBorder="1" applyAlignment="1">
      <alignment horizontal="center" vertical="center"/>
    </xf>
    <xf numFmtId="0" fontId="0" fillId="12" borderId="17" xfId="0" applyFill="1" applyBorder="1" applyAlignment="1">
      <alignment horizontal="center" vertical="center"/>
    </xf>
    <xf numFmtId="0" fontId="0" fillId="12" borderId="20" xfId="0" applyFill="1" applyBorder="1" applyAlignment="1">
      <alignment horizontal="center" vertical="center"/>
    </xf>
    <xf numFmtId="0" fontId="0" fillId="12" borderId="18" xfId="0" applyFill="1" applyBorder="1" applyAlignment="1">
      <alignment horizontal="center" vertical="center"/>
    </xf>
    <xf numFmtId="0" fontId="16" fillId="3" borderId="58" xfId="0" applyFont="1" applyFill="1" applyBorder="1" applyAlignment="1">
      <alignment horizontal="center" vertical="center"/>
    </xf>
    <xf numFmtId="0" fontId="16" fillId="3" borderId="59" xfId="0" applyFont="1" applyFill="1" applyBorder="1" applyAlignment="1">
      <alignment horizontal="center" vertical="center"/>
    </xf>
    <xf numFmtId="0" fontId="16" fillId="3" borderId="60" xfId="0" applyFont="1" applyFill="1" applyBorder="1" applyAlignment="1">
      <alignment horizontal="center" vertical="center"/>
    </xf>
    <xf numFmtId="9" fontId="12" fillId="3" borderId="45" xfId="0" applyNumberFormat="1" applyFont="1" applyFill="1" applyBorder="1" applyAlignment="1">
      <alignment horizontal="center" vertical="center" wrapText="1"/>
    </xf>
    <xf numFmtId="9" fontId="12" fillId="3" borderId="47" xfId="0" applyNumberFormat="1" applyFont="1" applyFill="1" applyBorder="1" applyAlignment="1">
      <alignment horizontal="center" vertical="center" wrapText="1"/>
    </xf>
    <xf numFmtId="9" fontId="2" fillId="3" borderId="46" xfId="0" applyNumberFormat="1" applyFont="1" applyFill="1" applyBorder="1" applyAlignment="1">
      <alignment horizontal="center" vertical="center" wrapText="1"/>
    </xf>
    <xf numFmtId="9" fontId="2" fillId="3" borderId="49" xfId="0" applyNumberFormat="1" applyFont="1" applyFill="1" applyBorder="1" applyAlignment="1">
      <alignment horizontal="center" vertical="center" wrapText="1"/>
    </xf>
    <xf numFmtId="17" fontId="2" fillId="6" borderId="45" xfId="0" applyNumberFormat="1" applyFont="1" applyFill="1" applyBorder="1" applyAlignment="1">
      <alignment horizontal="center" vertical="center" wrapText="1"/>
    </xf>
    <xf numFmtId="17" fontId="2" fillId="6" borderId="47" xfId="0" applyNumberFormat="1" applyFont="1" applyFill="1" applyBorder="1" applyAlignment="1">
      <alignment horizontal="center" vertical="center" wrapText="1"/>
    </xf>
    <xf numFmtId="17" fontId="2" fillId="6" borderId="2" xfId="0" applyNumberFormat="1" applyFont="1" applyFill="1" applyBorder="1" applyAlignment="1">
      <alignment horizontal="center" vertical="center" wrapText="1"/>
    </xf>
    <xf numFmtId="17" fontId="2" fillId="6" borderId="48" xfId="0" applyNumberFormat="1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/>
    </xf>
    <xf numFmtId="0" fontId="13" fillId="6" borderId="26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23" fillId="2" borderId="58" xfId="0" applyFont="1" applyFill="1" applyBorder="1" applyAlignment="1">
      <alignment horizontal="center" vertical="center"/>
    </xf>
    <xf numFmtId="0" fontId="23" fillId="2" borderId="59" xfId="0" applyFont="1" applyFill="1" applyBorder="1" applyAlignment="1">
      <alignment horizontal="center" vertical="center"/>
    </xf>
    <xf numFmtId="0" fontId="23" fillId="2" borderId="60" xfId="0" applyFont="1" applyFill="1" applyBorder="1" applyAlignment="1">
      <alignment horizontal="center" vertical="center"/>
    </xf>
    <xf numFmtId="17" fontId="12" fillId="6" borderId="2" xfId="1" applyNumberFormat="1" applyFont="1" applyFill="1" applyBorder="1" applyAlignment="1">
      <alignment horizontal="center" vertical="center" wrapText="1"/>
    </xf>
    <xf numFmtId="44" fontId="12" fillId="6" borderId="48" xfId="1" applyFont="1" applyFill="1" applyBorder="1" applyAlignment="1">
      <alignment horizontal="center" vertical="center" wrapText="1"/>
    </xf>
    <xf numFmtId="44" fontId="12" fillId="6" borderId="2" xfId="1" applyFont="1" applyFill="1" applyBorder="1" applyAlignment="1">
      <alignment horizontal="center" vertical="center" wrapText="1"/>
    </xf>
    <xf numFmtId="17" fontId="12" fillId="6" borderId="46" xfId="0" applyNumberFormat="1" applyFont="1" applyFill="1" applyBorder="1" applyAlignment="1">
      <alignment horizontal="center" vertical="center" wrapText="1"/>
    </xf>
    <xf numFmtId="17" fontId="12" fillId="6" borderId="49" xfId="0" applyNumberFormat="1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28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6" fillId="6" borderId="67" xfId="0" applyFont="1" applyFill="1" applyBorder="1" applyAlignment="1">
      <alignment horizontal="center" vertical="center"/>
    </xf>
    <xf numFmtId="0" fontId="18" fillId="3" borderId="45" xfId="0" applyFont="1" applyFill="1" applyBorder="1" applyAlignment="1">
      <alignment horizontal="center" vertical="center"/>
    </xf>
    <xf numFmtId="0" fontId="18" fillId="3" borderId="46" xfId="0" applyFont="1" applyFill="1" applyBorder="1" applyAlignment="1">
      <alignment horizontal="center" vertical="center"/>
    </xf>
    <xf numFmtId="0" fontId="18" fillId="3" borderId="71" xfId="0" applyFont="1" applyFill="1" applyBorder="1" applyAlignment="1">
      <alignment horizontal="center" vertical="center"/>
    </xf>
    <xf numFmtId="0" fontId="18" fillId="3" borderId="51" xfId="0" applyFont="1" applyFill="1" applyBorder="1" applyAlignment="1">
      <alignment horizontal="center" vertical="center"/>
    </xf>
    <xf numFmtId="0" fontId="18" fillId="6" borderId="45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46" xfId="0" applyFont="1" applyFill="1" applyBorder="1" applyAlignment="1">
      <alignment horizontal="center" vertical="center"/>
    </xf>
    <xf numFmtId="0" fontId="18" fillId="6" borderId="71" xfId="0" applyFont="1" applyFill="1" applyBorder="1" applyAlignment="1">
      <alignment horizontal="center" vertical="center"/>
    </xf>
    <xf numFmtId="0" fontId="18" fillId="6" borderId="62" xfId="0" applyFont="1" applyFill="1" applyBorder="1" applyAlignment="1">
      <alignment horizontal="center" vertical="center"/>
    </xf>
    <xf numFmtId="0" fontId="18" fillId="6" borderId="51" xfId="0" applyFont="1" applyFill="1" applyBorder="1" applyAlignment="1">
      <alignment horizontal="center" vertical="center"/>
    </xf>
    <xf numFmtId="44" fontId="12" fillId="6" borderId="45" xfId="1" applyFont="1" applyFill="1" applyBorder="1" applyAlignment="1">
      <alignment horizontal="center" vertical="center" wrapText="1"/>
    </xf>
    <xf numFmtId="44" fontId="12" fillId="6" borderId="47" xfId="1" applyFont="1" applyFill="1" applyBorder="1" applyAlignment="1">
      <alignment horizontal="center" vertical="center" wrapText="1"/>
    </xf>
    <xf numFmtId="0" fontId="16" fillId="6" borderId="58" xfId="0" applyFont="1" applyFill="1" applyBorder="1" applyAlignment="1">
      <alignment horizontal="center" vertical="center"/>
    </xf>
    <xf numFmtId="0" fontId="16" fillId="6" borderId="60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 wrapText="1"/>
    </xf>
    <xf numFmtId="167" fontId="27" fillId="2" borderId="8" xfId="1" applyNumberFormat="1" applyFont="1" applyFill="1" applyBorder="1" applyAlignment="1">
      <alignment horizontal="center" vertical="center"/>
    </xf>
    <xf numFmtId="167" fontId="27" fillId="2" borderId="13" xfId="1" applyNumberFormat="1" applyFont="1" applyFill="1" applyBorder="1" applyAlignment="1">
      <alignment horizontal="center" vertical="center"/>
    </xf>
    <xf numFmtId="167" fontId="27" fillId="2" borderId="12" xfId="1" applyNumberFormat="1" applyFont="1" applyFill="1" applyBorder="1" applyAlignment="1">
      <alignment horizontal="center" vertical="center"/>
    </xf>
    <xf numFmtId="164" fontId="27" fillId="2" borderId="12" xfId="1" applyNumberFormat="1" applyFont="1" applyFill="1" applyBorder="1" applyAlignment="1">
      <alignment horizontal="center" vertical="center"/>
    </xf>
    <xf numFmtId="0" fontId="12" fillId="6" borderId="50" xfId="0" applyFont="1" applyFill="1" applyBorder="1" applyAlignment="1">
      <alignment horizontal="center" vertical="center"/>
    </xf>
    <xf numFmtId="0" fontId="12" fillId="6" borderId="63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12" fillId="4" borderId="48" xfId="0" applyFont="1" applyFill="1" applyBorder="1" applyAlignment="1">
      <alignment horizontal="center" vertical="center" wrapText="1"/>
    </xf>
    <xf numFmtId="0" fontId="13" fillId="6" borderId="45" xfId="0" applyFont="1" applyFill="1" applyBorder="1" applyAlignment="1">
      <alignment horizontal="center" vertical="center"/>
    </xf>
    <xf numFmtId="0" fontId="13" fillId="6" borderId="47" xfId="0" applyFont="1" applyFill="1" applyBorder="1" applyAlignment="1">
      <alignment horizontal="center" vertical="center"/>
    </xf>
    <xf numFmtId="0" fontId="13" fillId="6" borderId="55" xfId="0" applyFont="1" applyFill="1" applyBorder="1" applyAlignment="1">
      <alignment horizontal="center" vertical="center"/>
    </xf>
    <xf numFmtId="0" fontId="13" fillId="6" borderId="56" xfId="0" applyFont="1" applyFill="1" applyBorder="1" applyAlignment="1">
      <alignment horizontal="center" vertical="center"/>
    </xf>
    <xf numFmtId="0" fontId="13" fillId="6" borderId="57" xfId="0" applyFont="1" applyFill="1" applyBorder="1" applyAlignment="1">
      <alignment horizontal="center" vertical="center"/>
    </xf>
    <xf numFmtId="0" fontId="12" fillId="4" borderId="42" xfId="0" applyFont="1" applyFill="1" applyBorder="1" applyAlignment="1">
      <alignment horizontal="center" vertical="center" wrapText="1"/>
    </xf>
    <xf numFmtId="0" fontId="12" fillId="4" borderId="53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6" borderId="45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27" fillId="2" borderId="28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13" fillId="8" borderId="17" xfId="0" applyFont="1" applyFill="1" applyBorder="1" applyAlignment="1">
      <alignment horizontal="center" vertical="center"/>
    </xf>
    <xf numFmtId="0" fontId="13" fillId="8" borderId="20" xfId="0" applyFont="1" applyFill="1" applyBorder="1" applyAlignment="1">
      <alignment horizontal="center" vertical="center"/>
    </xf>
    <xf numFmtId="0" fontId="13" fillId="8" borderId="0" xfId="0" applyFont="1" applyFill="1" applyBorder="1" applyAlignment="1">
      <alignment horizontal="center" vertical="center"/>
    </xf>
    <xf numFmtId="164" fontId="20" fillId="2" borderId="8" xfId="0" applyNumberFormat="1" applyFont="1" applyFill="1" applyBorder="1" applyAlignment="1">
      <alignment horizontal="center" vertical="center"/>
    </xf>
    <xf numFmtId="164" fontId="20" fillId="2" borderId="13" xfId="0" applyNumberFormat="1" applyFont="1" applyFill="1" applyBorder="1" applyAlignment="1">
      <alignment horizontal="center" vertical="center"/>
    </xf>
    <xf numFmtId="164" fontId="20" fillId="2" borderId="12" xfId="0" applyNumberFormat="1" applyFont="1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61" xfId="0" applyFill="1" applyBorder="1" applyAlignment="1">
      <alignment horizontal="center" vertical="center"/>
    </xf>
    <xf numFmtId="0" fontId="12" fillId="6" borderId="57" xfId="0" applyFont="1" applyFill="1" applyBorder="1" applyAlignment="1">
      <alignment horizontal="center" vertical="center"/>
    </xf>
    <xf numFmtId="0" fontId="12" fillId="6" borderId="16" xfId="0" applyFont="1" applyFill="1" applyBorder="1" applyAlignment="1">
      <alignment horizontal="center" vertical="center"/>
    </xf>
    <xf numFmtId="0" fontId="12" fillId="6" borderId="61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2" fillId="6" borderId="47" xfId="0" applyFont="1" applyFill="1" applyBorder="1" applyAlignment="1">
      <alignment horizontal="center" vertical="center"/>
    </xf>
    <xf numFmtId="0" fontId="12" fillId="6" borderId="48" xfId="0" applyFont="1" applyFill="1" applyBorder="1" applyAlignment="1">
      <alignment horizontal="center" vertical="center"/>
    </xf>
    <xf numFmtId="0" fontId="12" fillId="6" borderId="25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6" borderId="52" xfId="0" applyFont="1" applyFill="1" applyBorder="1" applyAlignment="1">
      <alignment horizontal="center" vertical="center"/>
    </xf>
    <xf numFmtId="0" fontId="12" fillId="6" borderId="36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5" borderId="62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2" fillId="10" borderId="45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10" fillId="10" borderId="40" xfId="0" applyFont="1" applyFill="1" applyBorder="1" applyAlignment="1">
      <alignment horizontal="center" vertical="center" wrapText="1"/>
    </xf>
    <xf numFmtId="0" fontId="10" fillId="10" borderId="72" xfId="0" applyFont="1" applyFill="1" applyBorder="1" applyAlignment="1">
      <alignment horizontal="center" vertical="center" wrapText="1"/>
    </xf>
    <xf numFmtId="0" fontId="2" fillId="10" borderId="50" xfId="0" applyFont="1" applyFill="1" applyBorder="1" applyAlignment="1">
      <alignment horizontal="center" vertical="center"/>
    </xf>
    <xf numFmtId="0" fontId="2" fillId="10" borderId="6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10" fillId="10" borderId="71" xfId="0" applyFont="1" applyFill="1" applyBorder="1" applyAlignment="1">
      <alignment horizontal="center" vertical="center"/>
    </xf>
    <xf numFmtId="0" fontId="10" fillId="10" borderId="32" xfId="0" applyFont="1" applyFill="1" applyBorder="1" applyAlignment="1">
      <alignment horizontal="center" vertical="center"/>
    </xf>
    <xf numFmtId="164" fontId="34" fillId="0" borderId="48" xfId="0" applyNumberFormat="1" applyFont="1" applyBorder="1" applyAlignment="1">
      <alignment horizontal="center" vertical="center"/>
    </xf>
    <xf numFmtId="0" fontId="16" fillId="7" borderId="19" xfId="0" applyFont="1" applyFill="1" applyBorder="1" applyAlignment="1">
      <alignment horizontal="center" vertical="center" wrapText="1"/>
    </xf>
    <xf numFmtId="0" fontId="16" fillId="7" borderId="9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164" fontId="34" fillId="0" borderId="63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4" fontId="0" fillId="0" borderId="48" xfId="0" applyNumberFormat="1" applyBorder="1" applyAlignment="1">
      <alignment horizontal="center" vertical="center"/>
    </xf>
    <xf numFmtId="164" fontId="0" fillId="0" borderId="63" xfId="0" applyNumberFormat="1" applyBorder="1" applyAlignment="1">
      <alignment horizontal="center" vertical="center"/>
    </xf>
    <xf numFmtId="0" fontId="16" fillId="7" borderId="19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0" fontId="16" fillId="7" borderId="10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10" borderId="24" xfId="0" applyFont="1" applyFill="1" applyBorder="1" applyAlignment="1">
      <alignment horizontal="center" vertical="center"/>
    </xf>
    <xf numFmtId="0" fontId="2" fillId="10" borderId="74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4">
    <cellStyle name="Excel Built-in Normal" xfId="2"/>
    <cellStyle name="Moneda" xfId="1" builtinId="4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7/Downloads/PLANILLA%20SALARIAL%20ESSO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2019"/>
      <sheetName val="Hoja3"/>
    </sheetNames>
    <sheetDataSet>
      <sheetData sheetId="0">
        <row r="13">
          <cell r="AJ13">
            <v>30860.059720000012</v>
          </cell>
          <cell r="AK13">
            <v>34166.494690000014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64"/>
  <sheetViews>
    <sheetView topLeftCell="A4" zoomScaleNormal="100" workbookViewId="0">
      <selection activeCell="B18" sqref="B18"/>
    </sheetView>
  </sheetViews>
  <sheetFormatPr baseColWidth="10" defaultRowHeight="15" x14ac:dyDescent="0.25"/>
  <cols>
    <col min="1" max="1" width="4" style="183" customWidth="1"/>
    <col min="2" max="2" width="10.42578125" style="183" customWidth="1"/>
    <col min="3" max="3" width="20.7109375" style="183" customWidth="1"/>
    <col min="4" max="4" width="16.7109375" style="183" customWidth="1"/>
    <col min="5" max="5" width="11.42578125" style="183"/>
    <col min="6" max="6" width="15.28515625" style="183" customWidth="1"/>
    <col min="7" max="7" width="11.42578125" style="183"/>
    <col min="8" max="8" width="16.5703125" style="183" customWidth="1"/>
    <col min="9" max="9" width="13.42578125" style="183" customWidth="1"/>
    <col min="10" max="10" width="11.42578125" style="183"/>
    <col min="11" max="11" width="14.140625" style="183" customWidth="1"/>
    <col min="12" max="12" width="12.7109375" style="183" customWidth="1"/>
    <col min="13" max="13" width="16" style="183" customWidth="1"/>
    <col min="14" max="16" width="12.42578125" style="183" bestFit="1" customWidth="1"/>
    <col min="17" max="17" width="16.28515625" style="183" customWidth="1"/>
    <col min="18" max="20" width="12.42578125" style="183" bestFit="1" customWidth="1"/>
    <col min="21" max="21" width="12.28515625" style="183" customWidth="1"/>
    <col min="22" max="22" width="12.42578125" style="183" bestFit="1" customWidth="1"/>
    <col min="23" max="23" width="14.42578125" style="183" customWidth="1"/>
    <col min="24" max="24" width="20.42578125" style="183" customWidth="1"/>
    <col min="25" max="25" width="12.42578125" style="183" bestFit="1" customWidth="1"/>
    <col min="26" max="27" width="14" style="183" customWidth="1"/>
    <col min="28" max="28" width="19.7109375" style="183" customWidth="1"/>
    <col min="29" max="29" width="12.42578125" style="183" bestFit="1" customWidth="1"/>
    <col min="30" max="30" width="12.85546875" style="183" customWidth="1"/>
    <col min="31" max="31" width="15.42578125" style="183" customWidth="1"/>
    <col min="32" max="36" width="11.42578125" style="183"/>
    <col min="37" max="38" width="12.7109375" style="183" customWidth="1"/>
    <col min="39" max="39" width="13.28515625" style="183" customWidth="1"/>
    <col min="40" max="40" width="16.85546875" style="183" customWidth="1"/>
    <col min="41" max="41" width="13.28515625" style="183" customWidth="1"/>
    <col min="42" max="42" width="14.85546875" style="183" customWidth="1"/>
    <col min="43" max="43" width="13.140625" style="183" customWidth="1"/>
    <col min="44" max="44" width="14.140625" style="183" bestFit="1" customWidth="1"/>
    <col min="45" max="45" width="12.42578125" style="183" bestFit="1" customWidth="1"/>
    <col min="46" max="46" width="14" style="183" bestFit="1" customWidth="1"/>
    <col min="47" max="47" width="12.42578125" style="183" bestFit="1" customWidth="1"/>
    <col min="48" max="48" width="14.5703125" style="183" customWidth="1"/>
    <col min="49" max="49" width="12.42578125" style="183" bestFit="1" customWidth="1"/>
    <col min="50" max="50" width="11.42578125" style="661"/>
    <col min="51" max="51" width="11.42578125" style="183"/>
    <col min="52" max="53" width="11.42578125" style="661"/>
    <col min="54" max="16384" width="11.42578125" style="183"/>
  </cols>
  <sheetData>
    <row r="1" spans="2:53" ht="15.75" thickBot="1" x14ac:dyDescent="0.3"/>
    <row r="2" spans="2:53" ht="35.1" customHeight="1" thickBot="1" x14ac:dyDescent="0.3">
      <c r="B2" s="263"/>
      <c r="C2" s="966" t="s">
        <v>214</v>
      </c>
      <c r="D2" s="908" t="s">
        <v>89</v>
      </c>
      <c r="E2" s="909"/>
      <c r="F2" s="969"/>
      <c r="G2" s="905" t="s">
        <v>89</v>
      </c>
      <c r="H2" s="906"/>
      <c r="I2" s="906"/>
      <c r="J2" s="906"/>
      <c r="K2" s="907"/>
      <c r="L2" s="900" t="s">
        <v>89</v>
      </c>
      <c r="M2" s="901"/>
      <c r="N2" s="897" t="s">
        <v>89</v>
      </c>
      <c r="O2" s="898"/>
      <c r="P2" s="898"/>
      <c r="Q2" s="899"/>
      <c r="R2" s="908" t="s">
        <v>89</v>
      </c>
      <c r="S2" s="909"/>
      <c r="T2" s="909"/>
      <c r="U2" s="909"/>
      <c r="V2" s="909"/>
      <c r="W2" s="909"/>
      <c r="X2" s="909"/>
      <c r="Y2" s="909"/>
      <c r="Z2" s="909"/>
      <c r="AA2" s="909"/>
      <c r="AB2" s="909"/>
      <c r="AC2" s="888" t="s">
        <v>89</v>
      </c>
      <c r="AD2" s="889"/>
      <c r="AE2" s="889"/>
      <c r="AF2" s="889"/>
      <c r="AG2" s="889"/>
      <c r="AH2" s="889"/>
      <c r="AI2" s="889"/>
      <c r="AJ2" s="889"/>
      <c r="AK2" s="889"/>
      <c r="AL2" s="889"/>
      <c r="AM2" s="889"/>
      <c r="AN2" s="889"/>
      <c r="AO2" s="889"/>
      <c r="AP2" s="864" t="s">
        <v>89</v>
      </c>
      <c r="AQ2" s="864"/>
      <c r="AR2" s="864"/>
      <c r="AS2" s="864"/>
      <c r="AT2" s="864"/>
      <c r="AU2" s="864"/>
      <c r="AV2" s="864"/>
      <c r="AW2" s="864"/>
      <c r="AX2" s="864"/>
      <c r="AY2" s="864"/>
      <c r="AZ2" s="864"/>
      <c r="BA2" s="864"/>
    </row>
    <row r="3" spans="2:53" ht="16.5" thickBot="1" x14ac:dyDescent="0.3">
      <c r="B3" s="350"/>
      <c r="C3" s="967"/>
      <c r="D3" s="878" t="s">
        <v>101</v>
      </c>
      <c r="E3" s="879"/>
      <c r="F3" s="880"/>
      <c r="G3" s="902" t="s">
        <v>99</v>
      </c>
      <c r="H3" s="903"/>
      <c r="I3" s="903"/>
      <c r="J3" s="903"/>
      <c r="K3" s="904"/>
      <c r="L3" s="989" t="s">
        <v>105</v>
      </c>
      <c r="M3" s="990"/>
      <c r="N3" s="991" t="s">
        <v>106</v>
      </c>
      <c r="O3" s="992"/>
      <c r="P3" s="992"/>
      <c r="Q3" s="993"/>
      <c r="R3" s="878" t="s">
        <v>76</v>
      </c>
      <c r="S3" s="879"/>
      <c r="T3" s="879"/>
      <c r="U3" s="879"/>
      <c r="V3" s="879"/>
      <c r="W3" s="879"/>
      <c r="X3" s="879"/>
      <c r="Y3" s="879"/>
      <c r="Z3" s="879"/>
      <c r="AA3" s="879"/>
      <c r="AB3" s="879"/>
      <c r="AC3" s="910" t="s">
        <v>244</v>
      </c>
      <c r="AD3" s="911"/>
      <c r="AE3" s="911"/>
      <c r="AF3" s="911"/>
      <c r="AG3" s="911"/>
      <c r="AH3" s="911"/>
      <c r="AI3" s="911"/>
      <c r="AJ3" s="911"/>
      <c r="AK3" s="911"/>
      <c r="AL3" s="911"/>
      <c r="AM3" s="911"/>
      <c r="AN3" s="911"/>
      <c r="AO3" s="911"/>
      <c r="AP3" s="865" t="s">
        <v>290</v>
      </c>
      <c r="AQ3" s="865"/>
      <c r="AR3" s="865"/>
      <c r="AS3" s="865"/>
      <c r="AT3" s="865"/>
      <c r="AU3" s="865"/>
      <c r="AV3" s="865"/>
      <c r="AW3" s="865"/>
      <c r="AX3" s="865"/>
      <c r="AY3" s="865"/>
      <c r="AZ3" s="865"/>
      <c r="BA3" s="865"/>
    </row>
    <row r="4" spans="2:53" ht="24.95" customHeight="1" thickBot="1" x14ac:dyDescent="0.3">
      <c r="B4" s="263"/>
      <c r="C4" s="968"/>
      <c r="D4" s="881"/>
      <c r="E4" s="882"/>
      <c r="F4" s="883"/>
      <c r="G4" s="923" t="s">
        <v>102</v>
      </c>
      <c r="H4" s="927" t="s">
        <v>103</v>
      </c>
      <c r="I4" s="925" t="s">
        <v>107</v>
      </c>
      <c r="J4" s="925" t="s">
        <v>108</v>
      </c>
      <c r="K4" s="978" t="s">
        <v>109</v>
      </c>
      <c r="L4" s="943" t="s">
        <v>104</v>
      </c>
      <c r="M4" s="921" t="s">
        <v>110</v>
      </c>
      <c r="N4" s="919" t="s">
        <v>257</v>
      </c>
      <c r="O4" s="994" t="s">
        <v>111</v>
      </c>
      <c r="P4" s="936" t="s">
        <v>112</v>
      </c>
      <c r="Q4" s="951" t="s">
        <v>141</v>
      </c>
      <c r="R4" s="942" t="s">
        <v>94</v>
      </c>
      <c r="S4" s="949" t="s">
        <v>113</v>
      </c>
      <c r="T4" s="949" t="s">
        <v>114</v>
      </c>
      <c r="U4" s="945" t="s">
        <v>217</v>
      </c>
      <c r="V4" s="945" t="s">
        <v>258</v>
      </c>
      <c r="W4" s="947" t="s">
        <v>259</v>
      </c>
      <c r="X4" s="938" t="s">
        <v>218</v>
      </c>
      <c r="Y4" s="938" t="s">
        <v>230</v>
      </c>
      <c r="Z4" s="940" t="s">
        <v>231</v>
      </c>
      <c r="AA4" s="987" t="s">
        <v>241</v>
      </c>
      <c r="AB4" s="976" t="s">
        <v>239</v>
      </c>
      <c r="AC4" s="985" t="s">
        <v>245</v>
      </c>
      <c r="AD4" s="884" t="s">
        <v>246</v>
      </c>
      <c r="AE4" s="886" t="s">
        <v>247</v>
      </c>
      <c r="AF4" s="884" t="s">
        <v>262</v>
      </c>
      <c r="AG4" s="884" t="s">
        <v>268</v>
      </c>
      <c r="AH4" s="944" t="s">
        <v>269</v>
      </c>
      <c r="AI4" s="931" t="s">
        <v>273</v>
      </c>
      <c r="AJ4" s="981" t="s">
        <v>272</v>
      </c>
      <c r="AK4" s="944" t="s">
        <v>277</v>
      </c>
      <c r="AL4" s="931" t="s">
        <v>281</v>
      </c>
      <c r="AM4" s="944" t="s">
        <v>282</v>
      </c>
      <c r="AN4" s="931" t="s">
        <v>294</v>
      </c>
      <c r="AO4" s="929" t="s">
        <v>289</v>
      </c>
      <c r="AP4" s="916" t="s">
        <v>295</v>
      </c>
      <c r="AQ4" s="874" t="s">
        <v>300</v>
      </c>
      <c r="AR4" s="863" t="s">
        <v>304</v>
      </c>
      <c r="AS4" s="862" t="s">
        <v>306</v>
      </c>
      <c r="AT4" s="863" t="s">
        <v>316</v>
      </c>
      <c r="AU4" s="862" t="s">
        <v>315</v>
      </c>
      <c r="AV4" s="863" t="s">
        <v>338</v>
      </c>
      <c r="AW4" s="863" t="s">
        <v>323</v>
      </c>
      <c r="AX4" s="862" t="s">
        <v>318</v>
      </c>
      <c r="AY4" s="863" t="s">
        <v>319</v>
      </c>
      <c r="AZ4" s="862" t="s">
        <v>325</v>
      </c>
      <c r="BA4" s="862" t="s">
        <v>320</v>
      </c>
    </row>
    <row r="5" spans="2:53" ht="24.95" customHeight="1" thickBot="1" x14ac:dyDescent="0.3">
      <c r="B5" s="263"/>
      <c r="C5" s="342" t="s">
        <v>0</v>
      </c>
      <c r="D5" s="351">
        <v>43191</v>
      </c>
      <c r="E5" s="351">
        <v>43525</v>
      </c>
      <c r="F5" s="352">
        <v>43556</v>
      </c>
      <c r="G5" s="924"/>
      <c r="H5" s="928"/>
      <c r="I5" s="926"/>
      <c r="J5" s="926"/>
      <c r="K5" s="979"/>
      <c r="L5" s="980"/>
      <c r="M5" s="922"/>
      <c r="N5" s="920"/>
      <c r="O5" s="995"/>
      <c r="P5" s="937"/>
      <c r="Q5" s="952"/>
      <c r="R5" s="943"/>
      <c r="S5" s="950"/>
      <c r="T5" s="950"/>
      <c r="U5" s="946"/>
      <c r="V5" s="946"/>
      <c r="W5" s="948"/>
      <c r="X5" s="939"/>
      <c r="Y5" s="939"/>
      <c r="Z5" s="941"/>
      <c r="AA5" s="988"/>
      <c r="AB5" s="977"/>
      <c r="AC5" s="986"/>
      <c r="AD5" s="885"/>
      <c r="AE5" s="887"/>
      <c r="AF5" s="885"/>
      <c r="AG5" s="885"/>
      <c r="AH5" s="884"/>
      <c r="AI5" s="884"/>
      <c r="AJ5" s="982"/>
      <c r="AK5" s="884"/>
      <c r="AL5" s="884"/>
      <c r="AM5" s="884"/>
      <c r="AN5" s="884"/>
      <c r="AO5" s="930"/>
      <c r="AP5" s="916"/>
      <c r="AQ5" s="874"/>
      <c r="AR5" s="863"/>
      <c r="AS5" s="862"/>
      <c r="AT5" s="863"/>
      <c r="AU5" s="862"/>
      <c r="AV5" s="863"/>
      <c r="AW5" s="863"/>
      <c r="AX5" s="862"/>
      <c r="AY5" s="863"/>
      <c r="AZ5" s="862"/>
      <c r="BA5" s="862"/>
    </row>
    <row r="6" spans="2:53" ht="15.75" thickBot="1" x14ac:dyDescent="0.3">
      <c r="B6" s="263"/>
      <c r="C6" s="353" t="s">
        <v>134</v>
      </c>
      <c r="D6" s="354">
        <v>27426</v>
      </c>
      <c r="E6" s="355">
        <v>38397</v>
      </c>
      <c r="F6" s="356">
        <f>D6*55/100+D6</f>
        <v>42510.3</v>
      </c>
      <c r="G6" s="357">
        <f>F6*10/100+F6</f>
        <v>46761.33</v>
      </c>
      <c r="H6" s="358">
        <f>F6*19/100+F6</f>
        <v>50587.257000000005</v>
      </c>
      <c r="I6" s="359">
        <f>F6*23.2/100+F6</f>
        <v>52372.689600000005</v>
      </c>
      <c r="J6" s="360">
        <f>F6*32.2/100+F6</f>
        <v>56198.616600000008</v>
      </c>
      <c r="K6" s="361">
        <f>F6*45.7/100+F6</f>
        <v>61937.507100000003</v>
      </c>
      <c r="L6" s="362">
        <f>K6*30/100+K6</f>
        <v>80518.759229999996</v>
      </c>
      <c r="M6" s="363">
        <f>K6*45/100+K6</f>
        <v>89809.385295</v>
      </c>
      <c r="N6" s="364">
        <f>M6*15/100+M6</f>
        <v>103280.79308925</v>
      </c>
      <c r="O6" s="365">
        <f>M6*25/100+M6</f>
        <v>112261.73161875</v>
      </c>
      <c r="P6" s="366">
        <f>M6*35/100+M6</f>
        <v>121242.67014825001</v>
      </c>
      <c r="Q6" s="366">
        <f>(M6*57.82)/100+M6</f>
        <v>141737.17187256902</v>
      </c>
      <c r="R6" s="367">
        <f>(Q6*10)/100+Q6</f>
        <v>155910.88905982592</v>
      </c>
      <c r="S6" s="368">
        <f>(Q6*20)/100+Q6</f>
        <v>170084.60624708282</v>
      </c>
      <c r="T6" s="368">
        <f>(Q6*30)/100+Q6</f>
        <v>184258.32343433972</v>
      </c>
      <c r="U6" s="369">
        <f>Q6*15/100</f>
        <v>21260.575780885349</v>
      </c>
      <c r="V6" s="369">
        <f>Q6*30/100</f>
        <v>42521.151561770697</v>
      </c>
      <c r="W6" s="368">
        <f>Q6*60/100+Q6</f>
        <v>226779.47499611042</v>
      </c>
      <c r="X6" s="370">
        <f>Q6*10/100</f>
        <v>14173.717187256902</v>
      </c>
      <c r="Y6" s="370">
        <f>Q6*20/100</f>
        <v>28347.434374513803</v>
      </c>
      <c r="Z6" s="371">
        <f>Q6*39/100</f>
        <v>55277.497030301914</v>
      </c>
      <c r="AA6" s="371">
        <f t="shared" ref="AA6:AA12" si="0">Q6*9.8/100</f>
        <v>13890.242843511764</v>
      </c>
      <c r="AB6" s="372">
        <f t="shared" ref="AB6:AB12" si="1">Q6*108.8/100+Q6</f>
        <v>295947.21486992412</v>
      </c>
      <c r="AC6" s="373">
        <f>AB6*11/100</f>
        <v>32554.193635691656</v>
      </c>
      <c r="AD6" s="374">
        <f>AB6*25/100</f>
        <v>73986.803717481031</v>
      </c>
      <c r="AE6" s="375">
        <f>AB6*25/100+AB6</f>
        <v>369934.01858740515</v>
      </c>
      <c r="AF6" s="374">
        <f>AB6*15/100</f>
        <v>44392.082230488624</v>
      </c>
      <c r="AG6" s="374">
        <f>AB6*27.5/100</f>
        <v>81385.484089229139</v>
      </c>
      <c r="AH6" s="374">
        <f>AB6*45/100</f>
        <v>133176.24669146587</v>
      </c>
      <c r="AI6" s="374">
        <f>AB6*68.1/100</f>
        <v>201540.05332641833</v>
      </c>
      <c r="AJ6" s="376">
        <f>AB6*93.1/100+AB6</f>
        <v>571474.07191382349</v>
      </c>
      <c r="AK6" s="377">
        <f>AB6*55/100</f>
        <v>162770.96817845828</v>
      </c>
      <c r="AL6" s="377">
        <f>AB6*91.4/100</f>
        <v>270495.75439111068</v>
      </c>
      <c r="AM6" s="377">
        <f>AB6*103.9/100</f>
        <v>307489.15624985116</v>
      </c>
      <c r="AN6" s="378">
        <f>AB6*15.7/100</f>
        <v>46463.712734578083</v>
      </c>
      <c r="AO6" s="378">
        <f>AB6*25.05/100</f>
        <v>74134.777324915995</v>
      </c>
      <c r="AP6" s="643">
        <f>AB6*257.48/100+AB6</f>
        <v>1057952.1037170049</v>
      </c>
      <c r="AQ6" s="380">
        <f>AP6*8.8/100</f>
        <v>93099.785127096431</v>
      </c>
      <c r="AR6" s="379">
        <f>AP6*8.8/100+AP6</f>
        <v>1151051.8888441012</v>
      </c>
      <c r="AS6" s="380">
        <f>AP6*4.57/100</f>
        <v>48348.41113986713</v>
      </c>
      <c r="AT6" s="381">
        <f>AP6*13.37/100+AP6</f>
        <v>1199400.2999839685</v>
      </c>
      <c r="AU6" s="380">
        <f>AP6*9.96/100</f>
        <v>105372.02953021369</v>
      </c>
      <c r="AV6" s="381">
        <f>AP6*28.51/100+AP6</f>
        <v>1359574.2484867231</v>
      </c>
      <c r="AW6" s="380">
        <f>AP6*4/100</f>
        <v>42318.084148680195</v>
      </c>
      <c r="AX6" s="160"/>
      <c r="AY6" s="308"/>
      <c r="AZ6" s="160"/>
      <c r="BA6" s="160"/>
    </row>
    <row r="7" spans="2:53" ht="15.75" thickBot="1" x14ac:dyDescent="0.3">
      <c r="B7" s="263"/>
      <c r="C7" s="353" t="s">
        <v>135</v>
      </c>
      <c r="D7" s="382">
        <v>29483</v>
      </c>
      <c r="E7" s="383">
        <v>41277</v>
      </c>
      <c r="F7" s="384">
        <f t="shared" ref="F7:F12" si="2">D7*55/100+D7</f>
        <v>45698.65</v>
      </c>
      <c r="G7" s="385">
        <f t="shared" ref="G7:G12" si="3">F7*10/100+F7</f>
        <v>50268.514999999999</v>
      </c>
      <c r="H7" s="386">
        <f t="shared" ref="H7:H12" si="4">F7*19/100+F7</f>
        <v>54381.393500000006</v>
      </c>
      <c r="I7" s="387">
        <f t="shared" ref="I7:I12" si="5">F7*23.2/100+F7</f>
        <v>56300.736799999999</v>
      </c>
      <c r="J7" s="388">
        <f t="shared" ref="J7:J12" si="6">F7*32.2/100+F7</f>
        <v>60413.615300000005</v>
      </c>
      <c r="K7" s="389">
        <f t="shared" ref="K7:K12" si="7">F7*45.7/100+F7</f>
        <v>66582.933050000007</v>
      </c>
      <c r="L7" s="390">
        <f t="shared" ref="L7:L12" si="8">K7*30/100+K7</f>
        <v>86557.812965000005</v>
      </c>
      <c r="M7" s="391">
        <f t="shared" ref="M7:M12" si="9">K7*45/100+K7</f>
        <v>96545.252922500018</v>
      </c>
      <c r="N7" s="392">
        <f t="shared" ref="N7:N48" si="10">M7*15/100+M7</f>
        <v>111027.04086087501</v>
      </c>
      <c r="O7" s="393">
        <f t="shared" ref="O7:O48" si="11">M7*25/100+M7</f>
        <v>120681.56615312502</v>
      </c>
      <c r="P7" s="394">
        <f t="shared" ref="P7:P48" si="12">M7*35/100+M7</f>
        <v>130336.09144537503</v>
      </c>
      <c r="Q7" s="394">
        <f>(M7*57.82)/100+M7</f>
        <v>152367.71816228953</v>
      </c>
      <c r="R7" s="367">
        <f>(Q7*10)/100+Q7</f>
        <v>167604.48997851848</v>
      </c>
      <c r="S7" s="368">
        <f t="shared" ref="S7:S48" si="13">(Q7*20)/100+Q7</f>
        <v>182841.26179474744</v>
      </c>
      <c r="T7" s="368">
        <f>(Q7*30)/100+Q7</f>
        <v>198078.03361097639</v>
      </c>
      <c r="U7" s="369">
        <f t="shared" ref="U7:U12" si="14">Q7*15/100</f>
        <v>22855.157724343429</v>
      </c>
      <c r="V7" s="369">
        <f t="shared" ref="V7:V12" si="15">Q7*30/100</f>
        <v>45710.315448686859</v>
      </c>
      <c r="W7" s="368">
        <f t="shared" ref="W7:W12" si="16">Q7*60/100+Q7</f>
        <v>243788.34905966325</v>
      </c>
      <c r="X7" s="370">
        <f t="shared" ref="X7:X12" si="17">Q7*10/100</f>
        <v>15236.771816228955</v>
      </c>
      <c r="Y7" s="370">
        <f t="shared" ref="Y7:Y12" si="18">Q7*20/100</f>
        <v>30473.54363245791</v>
      </c>
      <c r="Z7" s="371">
        <f t="shared" ref="Z7:Z12" si="19">Q7*39/100</f>
        <v>59423.410083292918</v>
      </c>
      <c r="AA7" s="371">
        <f t="shared" si="0"/>
        <v>14932.036379904375</v>
      </c>
      <c r="AB7" s="372">
        <f t="shared" si="1"/>
        <v>318143.79552286054</v>
      </c>
      <c r="AC7" s="373">
        <f t="shared" ref="AC7:AC44" si="20">AB7*11/100</f>
        <v>34995.817507514657</v>
      </c>
      <c r="AD7" s="374">
        <f t="shared" ref="AD7:AD44" si="21">AB7*25/100</f>
        <v>79535.948880715136</v>
      </c>
      <c r="AE7" s="375">
        <f t="shared" ref="AE7:AE48" si="22">AB7*25/100+AB7</f>
        <v>397679.74440357566</v>
      </c>
      <c r="AF7" s="374">
        <f t="shared" ref="AF7:AF12" si="23">AB7*15/100</f>
        <v>47721.569328429083</v>
      </c>
      <c r="AG7" s="374">
        <f t="shared" ref="AG7:AG12" si="24">AB7*27.5/100</f>
        <v>87489.543768786651</v>
      </c>
      <c r="AH7" s="374">
        <f t="shared" ref="AH7:AH12" si="25">AB7*45/100</f>
        <v>143164.70798528724</v>
      </c>
      <c r="AI7" s="374">
        <f t="shared" ref="AI7:AI12" si="26">AB7*68.1/100</f>
        <v>216655.92475106803</v>
      </c>
      <c r="AJ7" s="376">
        <f t="shared" ref="AJ7:AJ12" si="27">AB7*93.1/100+AB7</f>
        <v>614335.66915464378</v>
      </c>
      <c r="AK7" s="377">
        <f t="shared" ref="AK7:AK12" si="28">AB7*55/100</f>
        <v>174979.0875375733</v>
      </c>
      <c r="AL7" s="377">
        <f t="shared" ref="AL7:AL12" si="29">AB7*91.4/100</f>
        <v>290783.42910789454</v>
      </c>
      <c r="AM7" s="377">
        <f t="shared" ref="AM7:AM12" si="30">AB7*103.9/100</f>
        <v>330551.40354825213</v>
      </c>
      <c r="AN7" s="378">
        <f t="shared" ref="AN7:AN12" si="31">AB7*15.7/100</f>
        <v>49948.575897089104</v>
      </c>
      <c r="AO7" s="378">
        <f t="shared" ref="AO7:AO12" si="32">AB7*25.05/100</f>
        <v>79695.020778476566</v>
      </c>
      <c r="AP7" s="643">
        <f t="shared" ref="AP7:AP12" si="33">AB7*257.48/100+AB7</f>
        <v>1137300.4402351219</v>
      </c>
      <c r="AQ7" s="380">
        <f t="shared" ref="AQ7:AQ12" si="34">AP7*8.8/100</f>
        <v>100082.43874069075</v>
      </c>
      <c r="AR7" s="379">
        <f t="shared" ref="AR7:AR12" si="35">AP7*8.8/100+AP7</f>
        <v>1237382.8789758126</v>
      </c>
      <c r="AS7" s="380">
        <f t="shared" ref="AS7:AS12" si="36">AP7*4.57/100</f>
        <v>51974.630118745074</v>
      </c>
      <c r="AT7" s="381">
        <f t="shared" ref="AT7:AT12" si="37">AP7*13.37/100+AP7</f>
        <v>1289357.5090945577</v>
      </c>
      <c r="AU7" s="380">
        <f t="shared" ref="AU7:AU12" si="38">AP7*9.96/100</f>
        <v>113275.12384741814</v>
      </c>
      <c r="AV7" s="646">
        <f t="shared" ref="AV7:AV12" si="39">AP7*28.51/100+AP7</f>
        <v>1461544.7957461551</v>
      </c>
      <c r="AW7" s="380">
        <f t="shared" ref="AW7:AW12" si="40">AP7*4/100</f>
        <v>45492.017609404873</v>
      </c>
      <c r="AX7" s="160"/>
      <c r="AY7" s="308"/>
      <c r="AZ7" s="160"/>
      <c r="BA7" s="160"/>
    </row>
    <row r="8" spans="2:53" ht="15.75" thickBot="1" x14ac:dyDescent="0.3">
      <c r="B8" s="263"/>
      <c r="C8" s="353" t="s">
        <v>136</v>
      </c>
      <c r="D8" s="382">
        <v>31695</v>
      </c>
      <c r="E8" s="383">
        <v>44372</v>
      </c>
      <c r="F8" s="384">
        <f t="shared" si="2"/>
        <v>49127.25</v>
      </c>
      <c r="G8" s="385">
        <f t="shared" si="3"/>
        <v>54039.974999999999</v>
      </c>
      <c r="H8" s="386">
        <f t="shared" si="4"/>
        <v>58461.427499999998</v>
      </c>
      <c r="I8" s="387">
        <f t="shared" si="5"/>
        <v>60524.771999999997</v>
      </c>
      <c r="J8" s="388">
        <f t="shared" si="6"/>
        <v>64946.224500000004</v>
      </c>
      <c r="K8" s="389">
        <f t="shared" si="7"/>
        <v>71578.403250000003</v>
      </c>
      <c r="L8" s="390">
        <f t="shared" si="8"/>
        <v>93051.92422500001</v>
      </c>
      <c r="M8" s="391">
        <f t="shared" si="9"/>
        <v>103788.68471250001</v>
      </c>
      <c r="N8" s="392">
        <f t="shared" si="10"/>
        <v>119356.987419375</v>
      </c>
      <c r="O8" s="393">
        <f t="shared" si="11"/>
        <v>129735.85589062501</v>
      </c>
      <c r="P8" s="394">
        <f t="shared" si="12"/>
        <v>140114.72436187501</v>
      </c>
      <c r="Q8" s="394">
        <f t="shared" ref="Q8:Q48" si="41">(M8*57.82)/100+M8</f>
        <v>163799.30221326751</v>
      </c>
      <c r="R8" s="367">
        <f>(Q8*10)/100+Q8</f>
        <v>180179.23243459425</v>
      </c>
      <c r="S8" s="368">
        <f t="shared" si="13"/>
        <v>196559.16265592101</v>
      </c>
      <c r="T8" s="368">
        <f t="shared" ref="T8:T48" si="42">(Q8*30)/100+Q8</f>
        <v>212939.09287724778</v>
      </c>
      <c r="U8" s="369">
        <f t="shared" si="14"/>
        <v>24569.895331990127</v>
      </c>
      <c r="V8" s="369">
        <f t="shared" si="15"/>
        <v>49139.790663980253</v>
      </c>
      <c r="W8" s="368">
        <f t="shared" si="16"/>
        <v>262078.88354122802</v>
      </c>
      <c r="X8" s="370">
        <f t="shared" si="17"/>
        <v>16379.930221326751</v>
      </c>
      <c r="Y8" s="370">
        <f t="shared" si="18"/>
        <v>32759.860442653502</v>
      </c>
      <c r="Z8" s="371">
        <f t="shared" si="19"/>
        <v>63881.727863174332</v>
      </c>
      <c r="AA8" s="371">
        <f t="shared" si="0"/>
        <v>16052.331616900216</v>
      </c>
      <c r="AB8" s="372">
        <f t="shared" si="1"/>
        <v>342012.94302130258</v>
      </c>
      <c r="AC8" s="373">
        <f t="shared" si="20"/>
        <v>37621.423732343283</v>
      </c>
      <c r="AD8" s="374">
        <f t="shared" si="21"/>
        <v>85503.235755325644</v>
      </c>
      <c r="AE8" s="375">
        <f t="shared" si="22"/>
        <v>427516.17877662822</v>
      </c>
      <c r="AF8" s="374">
        <f t="shared" si="23"/>
        <v>51301.941453195381</v>
      </c>
      <c r="AG8" s="374">
        <f t="shared" si="24"/>
        <v>94053.559330858217</v>
      </c>
      <c r="AH8" s="374">
        <f t="shared" si="25"/>
        <v>153905.82435958617</v>
      </c>
      <c r="AI8" s="374">
        <f t="shared" si="26"/>
        <v>232910.81419750705</v>
      </c>
      <c r="AJ8" s="376">
        <f t="shared" si="27"/>
        <v>660426.99297413533</v>
      </c>
      <c r="AK8" s="377">
        <f t="shared" si="28"/>
        <v>188107.11866171643</v>
      </c>
      <c r="AL8" s="377">
        <f t="shared" si="29"/>
        <v>312599.82992147061</v>
      </c>
      <c r="AM8" s="377">
        <f t="shared" si="30"/>
        <v>355351.44779913337</v>
      </c>
      <c r="AN8" s="378">
        <f t="shared" si="31"/>
        <v>53696.032054344498</v>
      </c>
      <c r="AO8" s="378">
        <f t="shared" si="32"/>
        <v>85674.242226836286</v>
      </c>
      <c r="AP8" s="643">
        <f t="shared" si="33"/>
        <v>1222627.8687125526</v>
      </c>
      <c r="AQ8" s="380">
        <f t="shared" si="34"/>
        <v>107591.25244670463</v>
      </c>
      <c r="AR8" s="379">
        <f t="shared" si="35"/>
        <v>1330219.1211592571</v>
      </c>
      <c r="AS8" s="380">
        <f t="shared" si="36"/>
        <v>55874.093600163658</v>
      </c>
      <c r="AT8" s="381">
        <f t="shared" si="37"/>
        <v>1386093.2147594208</v>
      </c>
      <c r="AU8" s="380">
        <f t="shared" si="38"/>
        <v>121773.73572377024</v>
      </c>
      <c r="AV8" s="646">
        <f t="shared" si="39"/>
        <v>1571199.0740825012</v>
      </c>
      <c r="AW8" s="380">
        <f t="shared" si="40"/>
        <v>48905.114748502107</v>
      </c>
      <c r="AX8" s="160"/>
      <c r="AY8" s="308"/>
      <c r="AZ8" s="160"/>
      <c r="BA8" s="160"/>
    </row>
    <row r="9" spans="2:53" ht="15.75" thickBot="1" x14ac:dyDescent="0.3">
      <c r="B9" s="263"/>
      <c r="C9" s="353" t="s">
        <v>137</v>
      </c>
      <c r="D9" s="382">
        <v>34073</v>
      </c>
      <c r="E9" s="383">
        <v>47702</v>
      </c>
      <c r="F9" s="384">
        <f t="shared" si="2"/>
        <v>52813.15</v>
      </c>
      <c r="G9" s="385">
        <f t="shared" si="3"/>
        <v>58094.465000000004</v>
      </c>
      <c r="H9" s="386">
        <f t="shared" si="4"/>
        <v>62847.648500000003</v>
      </c>
      <c r="I9" s="387">
        <f t="shared" si="5"/>
        <v>65065.800800000005</v>
      </c>
      <c r="J9" s="388">
        <f t="shared" si="6"/>
        <v>69818.984300000011</v>
      </c>
      <c r="K9" s="389">
        <f t="shared" si="7"/>
        <v>76948.759550000002</v>
      </c>
      <c r="L9" s="390">
        <f t="shared" si="8"/>
        <v>100033.387415</v>
      </c>
      <c r="M9" s="391">
        <f t="shared" si="9"/>
        <v>111575.7013475</v>
      </c>
      <c r="N9" s="392">
        <f t="shared" si="10"/>
        <v>128312.05654962501</v>
      </c>
      <c r="O9" s="393">
        <f t="shared" si="11"/>
        <v>139469.62668437499</v>
      </c>
      <c r="P9" s="394">
        <f t="shared" si="12"/>
        <v>150627.19681912501</v>
      </c>
      <c r="Q9" s="394">
        <f>(M9*57.82)/100+M9</f>
        <v>176088.77186662451</v>
      </c>
      <c r="R9" s="367">
        <f t="shared" ref="R9:R48" si="43">(Q9*10)/100+Q9</f>
        <v>193697.64905328696</v>
      </c>
      <c r="S9" s="368">
        <f t="shared" si="13"/>
        <v>211306.52623994939</v>
      </c>
      <c r="T9" s="368">
        <f t="shared" si="42"/>
        <v>228915.40342661185</v>
      </c>
      <c r="U9" s="369">
        <f t="shared" si="14"/>
        <v>26413.315779993674</v>
      </c>
      <c r="V9" s="369">
        <f t="shared" si="15"/>
        <v>52826.631559987349</v>
      </c>
      <c r="W9" s="368">
        <f t="shared" si="16"/>
        <v>281742.03498659923</v>
      </c>
      <c r="X9" s="370">
        <f t="shared" si="17"/>
        <v>17608.877186662448</v>
      </c>
      <c r="Y9" s="370">
        <f t="shared" si="18"/>
        <v>35217.754373324897</v>
      </c>
      <c r="Z9" s="371">
        <f t="shared" si="19"/>
        <v>68674.62102798355</v>
      </c>
      <c r="AA9" s="371">
        <f t="shared" si="0"/>
        <v>17256.699642929201</v>
      </c>
      <c r="AB9" s="372">
        <f t="shared" si="1"/>
        <v>367673.35565751197</v>
      </c>
      <c r="AC9" s="373">
        <f t="shared" si="20"/>
        <v>40444.06912232632</v>
      </c>
      <c r="AD9" s="374">
        <f t="shared" si="21"/>
        <v>91918.338914377993</v>
      </c>
      <c r="AE9" s="375">
        <f t="shared" si="22"/>
        <v>459591.69457188994</v>
      </c>
      <c r="AF9" s="374">
        <f t="shared" si="23"/>
        <v>55151.003348626793</v>
      </c>
      <c r="AG9" s="374">
        <f t="shared" si="24"/>
        <v>101110.17280581579</v>
      </c>
      <c r="AH9" s="374">
        <f t="shared" si="25"/>
        <v>165453.01004588039</v>
      </c>
      <c r="AI9" s="374">
        <f t="shared" si="26"/>
        <v>250385.55520276565</v>
      </c>
      <c r="AJ9" s="376">
        <f t="shared" si="27"/>
        <v>709977.24977465556</v>
      </c>
      <c r="AK9" s="377">
        <f t="shared" si="28"/>
        <v>202220.34561163158</v>
      </c>
      <c r="AL9" s="377">
        <f t="shared" si="29"/>
        <v>336053.44707096601</v>
      </c>
      <c r="AM9" s="377">
        <f t="shared" si="30"/>
        <v>382012.61652815499</v>
      </c>
      <c r="AN9" s="378">
        <f t="shared" si="31"/>
        <v>57724.716838229375</v>
      </c>
      <c r="AO9" s="378">
        <f t="shared" si="32"/>
        <v>92102.175592206753</v>
      </c>
      <c r="AP9" s="643">
        <f t="shared" si="33"/>
        <v>1314358.7118044738</v>
      </c>
      <c r="AQ9" s="380">
        <f t="shared" si="34"/>
        <v>115663.56663879371</v>
      </c>
      <c r="AR9" s="379">
        <f t="shared" si="35"/>
        <v>1430022.2784432676</v>
      </c>
      <c r="AS9" s="380">
        <f t="shared" si="36"/>
        <v>60066.193129464453</v>
      </c>
      <c r="AT9" s="381">
        <f t="shared" si="37"/>
        <v>1490088.4715727319</v>
      </c>
      <c r="AU9" s="380">
        <f t="shared" si="38"/>
        <v>130910.12769572559</v>
      </c>
      <c r="AV9" s="646">
        <f t="shared" si="39"/>
        <v>1689082.3805399293</v>
      </c>
      <c r="AW9" s="380">
        <f t="shared" si="40"/>
        <v>52574.34847217895</v>
      </c>
      <c r="AX9" s="160"/>
      <c r="AY9" s="308"/>
      <c r="AZ9" s="160"/>
      <c r="BA9" s="160"/>
    </row>
    <row r="10" spans="2:53" ht="15.75" thickBot="1" x14ac:dyDescent="0.3">
      <c r="B10" s="263"/>
      <c r="C10" s="353" t="s">
        <v>138</v>
      </c>
      <c r="D10" s="382">
        <v>36628</v>
      </c>
      <c r="E10" s="383">
        <v>51280</v>
      </c>
      <c r="F10" s="384">
        <f t="shared" si="2"/>
        <v>56773.4</v>
      </c>
      <c r="G10" s="385">
        <f t="shared" si="3"/>
        <v>62450.740000000005</v>
      </c>
      <c r="H10" s="386">
        <f t="shared" si="4"/>
        <v>67560.346000000005</v>
      </c>
      <c r="I10" s="387">
        <f t="shared" si="5"/>
        <v>69944.828800000003</v>
      </c>
      <c r="J10" s="388">
        <f t="shared" si="6"/>
        <v>75054.434800000003</v>
      </c>
      <c r="K10" s="389">
        <f t="shared" si="7"/>
        <v>82718.843800000002</v>
      </c>
      <c r="L10" s="390">
        <f t="shared" si="8"/>
        <v>107534.49694000001</v>
      </c>
      <c r="M10" s="391">
        <f t="shared" si="9"/>
        <v>119942.32351</v>
      </c>
      <c r="N10" s="392">
        <f t="shared" si="10"/>
        <v>137933.67203650001</v>
      </c>
      <c r="O10" s="393">
        <f t="shared" si="11"/>
        <v>149927.90438749999</v>
      </c>
      <c r="P10" s="394">
        <f t="shared" si="12"/>
        <v>161922.1367385</v>
      </c>
      <c r="Q10" s="394">
        <f t="shared" si="41"/>
        <v>189292.974963482</v>
      </c>
      <c r="R10" s="367">
        <f t="shared" si="43"/>
        <v>208222.27245983022</v>
      </c>
      <c r="S10" s="368">
        <f t="shared" si="13"/>
        <v>227151.5699561784</v>
      </c>
      <c r="T10" s="368">
        <f t="shared" si="42"/>
        <v>246080.86745252661</v>
      </c>
      <c r="U10" s="369">
        <f t="shared" si="14"/>
        <v>28393.9462445223</v>
      </c>
      <c r="V10" s="369">
        <f t="shared" si="15"/>
        <v>56787.8924890446</v>
      </c>
      <c r="W10" s="368">
        <f t="shared" si="16"/>
        <v>302868.75994157122</v>
      </c>
      <c r="X10" s="370">
        <f t="shared" si="17"/>
        <v>18929.297496348201</v>
      </c>
      <c r="Y10" s="370">
        <f t="shared" si="18"/>
        <v>37858.594992696402</v>
      </c>
      <c r="Z10" s="371">
        <f t="shared" si="19"/>
        <v>73824.260235757974</v>
      </c>
      <c r="AA10" s="371">
        <f t="shared" si="0"/>
        <v>18550.711546421237</v>
      </c>
      <c r="AB10" s="372">
        <f t="shared" si="1"/>
        <v>395243.73172375036</v>
      </c>
      <c r="AC10" s="373">
        <f t="shared" si="20"/>
        <v>43476.810489612537</v>
      </c>
      <c r="AD10" s="374">
        <f t="shared" si="21"/>
        <v>98810.93293093759</v>
      </c>
      <c r="AE10" s="375">
        <f t="shared" si="22"/>
        <v>494054.66465468798</v>
      </c>
      <c r="AF10" s="374">
        <f t="shared" si="23"/>
        <v>59286.559758562558</v>
      </c>
      <c r="AG10" s="374">
        <f t="shared" si="24"/>
        <v>108692.02622403136</v>
      </c>
      <c r="AH10" s="374">
        <f t="shared" si="25"/>
        <v>177859.67927568767</v>
      </c>
      <c r="AI10" s="374">
        <f t="shared" si="26"/>
        <v>269160.98130387394</v>
      </c>
      <c r="AJ10" s="376">
        <f t="shared" si="27"/>
        <v>763215.64595856192</v>
      </c>
      <c r="AK10" s="395">
        <f t="shared" si="28"/>
        <v>217384.05244806272</v>
      </c>
      <c r="AL10" s="377">
        <f t="shared" si="29"/>
        <v>361252.77079550788</v>
      </c>
      <c r="AM10" s="377">
        <f t="shared" si="30"/>
        <v>410658.23726097663</v>
      </c>
      <c r="AN10" s="378">
        <f t="shared" si="31"/>
        <v>62053.265880628809</v>
      </c>
      <c r="AO10" s="378">
        <f t="shared" si="32"/>
        <v>99008.554796799464</v>
      </c>
      <c r="AP10" s="643">
        <f t="shared" si="33"/>
        <v>1412917.2921660629</v>
      </c>
      <c r="AQ10" s="380">
        <f t="shared" si="34"/>
        <v>124336.72171061354</v>
      </c>
      <c r="AR10" s="379">
        <f t="shared" si="35"/>
        <v>1537254.0138766763</v>
      </c>
      <c r="AS10" s="380">
        <f t="shared" si="36"/>
        <v>64570.320251989076</v>
      </c>
      <c r="AT10" s="381">
        <f t="shared" si="37"/>
        <v>1601824.3341286655</v>
      </c>
      <c r="AU10" s="380">
        <f t="shared" si="38"/>
        <v>140726.56229973986</v>
      </c>
      <c r="AV10" s="646">
        <f t="shared" si="39"/>
        <v>1815740.0121626074</v>
      </c>
      <c r="AW10" s="380">
        <f t="shared" si="40"/>
        <v>56516.691686642516</v>
      </c>
      <c r="AX10" s="160"/>
      <c r="AY10" s="308"/>
      <c r="AZ10" s="160"/>
      <c r="BA10" s="160"/>
    </row>
    <row r="11" spans="2:53" x14ac:dyDescent="0.25">
      <c r="B11" s="263"/>
      <c r="C11" s="353" t="s">
        <v>139</v>
      </c>
      <c r="D11" s="396">
        <v>39376</v>
      </c>
      <c r="E11" s="397">
        <v>55126</v>
      </c>
      <c r="F11" s="398">
        <f t="shared" si="2"/>
        <v>61032.800000000003</v>
      </c>
      <c r="G11" s="399">
        <f t="shared" si="3"/>
        <v>67136.08</v>
      </c>
      <c r="H11" s="400">
        <f t="shared" si="4"/>
        <v>72629.032000000007</v>
      </c>
      <c r="I11" s="401">
        <f t="shared" si="5"/>
        <v>75192.409599999999</v>
      </c>
      <c r="J11" s="402">
        <f t="shared" si="6"/>
        <v>80685.361600000004</v>
      </c>
      <c r="K11" s="403">
        <f t="shared" si="7"/>
        <v>88924.789600000004</v>
      </c>
      <c r="L11" s="404">
        <f t="shared" si="8"/>
        <v>115602.22648000001</v>
      </c>
      <c r="M11" s="405">
        <f t="shared" si="9"/>
        <v>128940.94492000001</v>
      </c>
      <c r="N11" s="406">
        <f t="shared" si="10"/>
        <v>148282.08665800001</v>
      </c>
      <c r="O11" s="407">
        <f t="shared" si="11"/>
        <v>161176.18115000002</v>
      </c>
      <c r="P11" s="408">
        <f t="shared" si="12"/>
        <v>174070.27564200002</v>
      </c>
      <c r="Q11" s="408">
        <f t="shared" si="41"/>
        <v>203494.59927274403</v>
      </c>
      <c r="R11" s="367">
        <f t="shared" si="43"/>
        <v>223844.05920001844</v>
      </c>
      <c r="S11" s="368">
        <f t="shared" si="13"/>
        <v>244193.51912729285</v>
      </c>
      <c r="T11" s="368">
        <f>(Q11*30)/100+Q11</f>
        <v>264542.97905456723</v>
      </c>
      <c r="U11" s="369">
        <f t="shared" si="14"/>
        <v>30524.189890911606</v>
      </c>
      <c r="V11" s="369">
        <f t="shared" si="15"/>
        <v>61048.379781823212</v>
      </c>
      <c r="W11" s="368">
        <f t="shared" si="16"/>
        <v>325591.35883639043</v>
      </c>
      <c r="X11" s="370">
        <f t="shared" si="17"/>
        <v>20349.459927274402</v>
      </c>
      <c r="Y11" s="370">
        <f t="shared" si="18"/>
        <v>40698.919854548803</v>
      </c>
      <c r="Z11" s="371">
        <f t="shared" si="19"/>
        <v>79362.893716370178</v>
      </c>
      <c r="AA11" s="371">
        <f t="shared" si="0"/>
        <v>19942.470728728917</v>
      </c>
      <c r="AB11" s="372">
        <f t="shared" si="1"/>
        <v>424896.72328148957</v>
      </c>
      <c r="AC11" s="373">
        <f t="shared" si="20"/>
        <v>46738.639560963857</v>
      </c>
      <c r="AD11" s="374">
        <f t="shared" si="21"/>
        <v>106224.18082037238</v>
      </c>
      <c r="AE11" s="375">
        <f t="shared" si="22"/>
        <v>531120.90410186199</v>
      </c>
      <c r="AF11" s="374">
        <f t="shared" si="23"/>
        <v>63734.508492223431</v>
      </c>
      <c r="AG11" s="374">
        <f t="shared" si="24"/>
        <v>116846.59890240963</v>
      </c>
      <c r="AH11" s="374">
        <f t="shared" si="25"/>
        <v>191203.5254766703</v>
      </c>
      <c r="AI11" s="374">
        <f t="shared" si="26"/>
        <v>289354.66855469433</v>
      </c>
      <c r="AJ11" s="376">
        <f t="shared" si="27"/>
        <v>820475.57265655627</v>
      </c>
      <c r="AK11" s="377">
        <f t="shared" si="28"/>
        <v>233693.19780481927</v>
      </c>
      <c r="AL11" s="377">
        <f t="shared" si="29"/>
        <v>388355.60507928149</v>
      </c>
      <c r="AM11" s="377">
        <f t="shared" si="30"/>
        <v>441467.6954894677</v>
      </c>
      <c r="AN11" s="378">
        <f t="shared" si="31"/>
        <v>66708.785555193856</v>
      </c>
      <c r="AO11" s="378">
        <f t="shared" si="32"/>
        <v>106436.62918201314</v>
      </c>
      <c r="AP11" s="643">
        <f t="shared" si="33"/>
        <v>1518920.8063866692</v>
      </c>
      <c r="AQ11" s="380">
        <f t="shared" si="34"/>
        <v>133665.03096202691</v>
      </c>
      <c r="AR11" s="379">
        <f t="shared" si="35"/>
        <v>1652585.8373486961</v>
      </c>
      <c r="AS11" s="380">
        <f t="shared" si="36"/>
        <v>69414.680851870784</v>
      </c>
      <c r="AT11" s="381">
        <f t="shared" si="37"/>
        <v>1722000.5182005668</v>
      </c>
      <c r="AU11" s="380">
        <f t="shared" si="38"/>
        <v>151284.51231611226</v>
      </c>
      <c r="AV11" s="646">
        <f t="shared" si="39"/>
        <v>1951965.1282875086</v>
      </c>
      <c r="AW11" s="380">
        <f t="shared" si="40"/>
        <v>60756.832255466768</v>
      </c>
      <c r="AX11" s="160"/>
      <c r="AY11" s="308"/>
      <c r="AZ11" s="160"/>
      <c r="BA11" s="160"/>
    </row>
    <row r="12" spans="2:53" ht="15.75" thickBot="1" x14ac:dyDescent="0.3">
      <c r="B12" s="263"/>
      <c r="C12" s="409" t="s">
        <v>140</v>
      </c>
      <c r="D12" s="410">
        <v>42329</v>
      </c>
      <c r="E12" s="411">
        <v>59291</v>
      </c>
      <c r="F12" s="412">
        <f t="shared" si="2"/>
        <v>65609.95</v>
      </c>
      <c r="G12" s="413">
        <f t="shared" si="3"/>
        <v>72170.944999999992</v>
      </c>
      <c r="H12" s="401">
        <f t="shared" si="4"/>
        <v>78075.840499999991</v>
      </c>
      <c r="I12" s="401">
        <f t="shared" si="5"/>
        <v>80831.458400000003</v>
      </c>
      <c r="J12" s="401">
        <f t="shared" si="6"/>
        <v>86736.353900000002</v>
      </c>
      <c r="K12" s="414">
        <f t="shared" si="7"/>
        <v>95593.697149999993</v>
      </c>
      <c r="L12" s="415">
        <f t="shared" si="8"/>
        <v>124271.80629499999</v>
      </c>
      <c r="M12" s="416">
        <f t="shared" si="9"/>
        <v>138610.86086749999</v>
      </c>
      <c r="N12" s="406">
        <f t="shared" si="10"/>
        <v>159402.48999762497</v>
      </c>
      <c r="O12" s="407">
        <f t="shared" si="11"/>
        <v>173263.57608437497</v>
      </c>
      <c r="P12" s="407">
        <f t="shared" si="12"/>
        <v>187124.66217112498</v>
      </c>
      <c r="Q12" s="408">
        <f t="shared" si="41"/>
        <v>218755.66062108846</v>
      </c>
      <c r="R12" s="415">
        <f>(Q12*10)/100+Q12</f>
        <v>240631.22668319731</v>
      </c>
      <c r="S12" s="417">
        <f t="shared" si="13"/>
        <v>262506.79274530616</v>
      </c>
      <c r="T12" s="417">
        <f t="shared" si="42"/>
        <v>284382.358807415</v>
      </c>
      <c r="U12" s="418">
        <f t="shared" si="14"/>
        <v>32813.34909316327</v>
      </c>
      <c r="V12" s="418">
        <f t="shared" si="15"/>
        <v>65626.698186326539</v>
      </c>
      <c r="W12" s="417">
        <f t="shared" si="16"/>
        <v>350009.05699374154</v>
      </c>
      <c r="X12" s="419">
        <f t="shared" si="17"/>
        <v>21875.566062108846</v>
      </c>
      <c r="Y12" s="419">
        <f t="shared" si="18"/>
        <v>43751.132124217693</v>
      </c>
      <c r="Z12" s="420">
        <f t="shared" si="19"/>
        <v>85314.707642224501</v>
      </c>
      <c r="AA12" s="420">
        <f t="shared" si="0"/>
        <v>21438.054740866668</v>
      </c>
      <c r="AB12" s="421">
        <f t="shared" si="1"/>
        <v>456761.81937683269</v>
      </c>
      <c r="AC12" s="422">
        <f t="shared" si="20"/>
        <v>50243.8001314516</v>
      </c>
      <c r="AD12" s="423">
        <f t="shared" si="21"/>
        <v>114190.45484420817</v>
      </c>
      <c r="AE12" s="424">
        <f t="shared" si="22"/>
        <v>570952.27422104089</v>
      </c>
      <c r="AF12" s="423">
        <f t="shared" si="23"/>
        <v>68514.2729065249</v>
      </c>
      <c r="AG12" s="423">
        <f t="shared" si="24"/>
        <v>125609.500328629</v>
      </c>
      <c r="AH12" s="374">
        <f t="shared" si="25"/>
        <v>205542.81871957469</v>
      </c>
      <c r="AI12" s="374">
        <f t="shared" si="26"/>
        <v>311054.79899562302</v>
      </c>
      <c r="AJ12" s="376">
        <f t="shared" si="27"/>
        <v>882007.07321666391</v>
      </c>
      <c r="AK12" s="377">
        <f t="shared" si="28"/>
        <v>251219.000657258</v>
      </c>
      <c r="AL12" s="377">
        <f t="shared" si="29"/>
        <v>417480.30291042506</v>
      </c>
      <c r="AM12" s="377">
        <f t="shared" si="30"/>
        <v>474575.53033252916</v>
      </c>
      <c r="AN12" s="378">
        <f t="shared" si="31"/>
        <v>71711.605642162729</v>
      </c>
      <c r="AO12" s="378">
        <f t="shared" si="32"/>
        <v>114418.83575389659</v>
      </c>
      <c r="AP12" s="643">
        <f t="shared" si="33"/>
        <v>1632832.1519083017</v>
      </c>
      <c r="AQ12" s="380">
        <f t="shared" si="34"/>
        <v>143689.22936793056</v>
      </c>
      <c r="AR12" s="379">
        <f t="shared" si="35"/>
        <v>1776521.3812762322</v>
      </c>
      <c r="AS12" s="380">
        <f t="shared" si="36"/>
        <v>74620.429342209405</v>
      </c>
      <c r="AT12" s="381">
        <f t="shared" si="37"/>
        <v>1851141.8106184416</v>
      </c>
      <c r="AU12" s="380">
        <f t="shared" si="38"/>
        <v>162630.08233006686</v>
      </c>
      <c r="AV12" s="646">
        <f t="shared" si="39"/>
        <v>2098352.5984173585</v>
      </c>
      <c r="AW12" s="380">
        <f t="shared" si="40"/>
        <v>65313.286076332071</v>
      </c>
      <c r="AX12" s="160"/>
      <c r="AY12" s="308"/>
      <c r="AZ12" s="160"/>
      <c r="BA12" s="160"/>
    </row>
    <row r="13" spans="2:53" s="426" customFormat="1" ht="15.75" thickBot="1" x14ac:dyDescent="0.3">
      <c r="B13" s="425"/>
      <c r="C13" s="890"/>
      <c r="D13" s="891"/>
      <c r="E13" s="891"/>
      <c r="F13" s="891"/>
      <c r="G13" s="891"/>
      <c r="H13" s="891"/>
      <c r="I13" s="891"/>
      <c r="J13" s="891"/>
      <c r="K13" s="891"/>
      <c r="L13" s="891"/>
      <c r="M13" s="891"/>
      <c r="N13" s="891"/>
      <c r="O13" s="891"/>
      <c r="P13" s="891"/>
      <c r="Q13" s="891"/>
      <c r="R13" s="891"/>
      <c r="S13" s="891"/>
      <c r="T13" s="891"/>
      <c r="U13" s="891"/>
      <c r="V13" s="891"/>
      <c r="W13" s="891"/>
      <c r="X13" s="891"/>
      <c r="Y13" s="891"/>
      <c r="Z13" s="891"/>
      <c r="AA13" s="891"/>
      <c r="AB13" s="891"/>
      <c r="AC13" s="891"/>
      <c r="AD13" s="891"/>
      <c r="AE13" s="891"/>
      <c r="AF13" s="891"/>
      <c r="AG13" s="891"/>
      <c r="AH13" s="891"/>
      <c r="AI13" s="891"/>
      <c r="AJ13" s="891"/>
      <c r="AK13" s="891"/>
      <c r="AL13" s="891"/>
      <c r="AM13" s="891"/>
      <c r="AN13" s="891"/>
      <c r="AO13" s="891"/>
      <c r="AP13" s="892"/>
      <c r="AQ13" s="892"/>
      <c r="AR13" s="892"/>
      <c r="AS13" s="892"/>
      <c r="AT13" s="892"/>
      <c r="AU13" s="892"/>
      <c r="AV13" s="892"/>
      <c r="AW13" s="893"/>
      <c r="AX13" s="663"/>
      <c r="AZ13" s="663"/>
      <c r="BA13" s="663"/>
    </row>
    <row r="14" spans="2:53" ht="15.75" customHeight="1" thickBot="1" x14ac:dyDescent="0.3">
      <c r="B14" s="263"/>
      <c r="C14" s="179" t="s">
        <v>0</v>
      </c>
      <c r="D14" s="875" t="s">
        <v>1</v>
      </c>
      <c r="E14" s="876"/>
      <c r="F14" s="877"/>
      <c r="G14" s="960" t="s">
        <v>1</v>
      </c>
      <c r="H14" s="961"/>
      <c r="I14" s="961"/>
      <c r="J14" s="961"/>
      <c r="K14" s="962"/>
      <c r="L14" s="974" t="s">
        <v>1</v>
      </c>
      <c r="M14" s="975"/>
      <c r="N14" s="955" t="s">
        <v>1</v>
      </c>
      <c r="O14" s="956"/>
      <c r="P14" s="956"/>
      <c r="Q14" s="956"/>
      <c r="R14" s="983" t="s">
        <v>1</v>
      </c>
      <c r="S14" s="984"/>
      <c r="T14" s="984"/>
      <c r="U14" s="984"/>
      <c r="V14" s="984"/>
      <c r="W14" s="984"/>
      <c r="X14" s="984"/>
      <c r="Y14" s="984"/>
      <c r="Z14" s="984"/>
      <c r="AA14" s="984"/>
      <c r="AB14" s="984"/>
      <c r="AC14" s="932" t="s">
        <v>1</v>
      </c>
      <c r="AD14" s="933"/>
      <c r="AE14" s="933"/>
      <c r="AF14" s="933"/>
      <c r="AG14" s="933"/>
      <c r="AH14" s="933"/>
      <c r="AI14" s="933"/>
      <c r="AJ14" s="933"/>
      <c r="AK14" s="933"/>
      <c r="AL14" s="933"/>
      <c r="AM14" s="933"/>
      <c r="AN14" s="933"/>
      <c r="AO14" s="933"/>
      <c r="AP14" s="873" t="s">
        <v>1</v>
      </c>
      <c r="AQ14" s="873"/>
      <c r="AR14" s="873"/>
      <c r="AS14" s="873"/>
      <c r="AT14" s="873"/>
      <c r="AU14" s="873"/>
      <c r="AV14" s="873"/>
      <c r="AW14" s="873"/>
      <c r="AX14" s="160"/>
      <c r="AY14" s="308"/>
      <c r="AZ14" s="160"/>
      <c r="BA14" s="160"/>
    </row>
    <row r="15" spans="2:53" ht="15.75" thickBot="1" x14ac:dyDescent="0.3">
      <c r="B15" s="263"/>
      <c r="C15" s="427">
        <v>8</v>
      </c>
      <c r="D15" s="428">
        <f t="shared" ref="D15:K20" si="44">D7*35/100</f>
        <v>10319.049999999999</v>
      </c>
      <c r="E15" s="429">
        <f t="shared" si="44"/>
        <v>14446.95</v>
      </c>
      <c r="F15" s="430">
        <f t="shared" si="44"/>
        <v>15994.5275</v>
      </c>
      <c r="G15" s="431">
        <f t="shared" si="44"/>
        <v>17593.980250000001</v>
      </c>
      <c r="H15" s="432">
        <f t="shared" si="44"/>
        <v>19033.487725000003</v>
      </c>
      <c r="I15" s="433">
        <f t="shared" si="44"/>
        <v>19705.257880000001</v>
      </c>
      <c r="J15" s="434">
        <f t="shared" si="44"/>
        <v>21144.765355000003</v>
      </c>
      <c r="K15" s="435">
        <f t="shared" si="44"/>
        <v>23304.026567500001</v>
      </c>
      <c r="L15" s="436">
        <f t="shared" ref="L15:L20" si="45">K15*30/100+K15</f>
        <v>30295.234537750002</v>
      </c>
      <c r="M15" s="437">
        <f t="shared" ref="M15:M20" si="46">K15*45/100+K15</f>
        <v>33790.838522874998</v>
      </c>
      <c r="N15" s="438">
        <f t="shared" si="10"/>
        <v>38859.464301306245</v>
      </c>
      <c r="O15" s="439">
        <f t="shared" si="11"/>
        <v>42238.548153593743</v>
      </c>
      <c r="P15" s="440">
        <f t="shared" si="12"/>
        <v>45617.632005881249</v>
      </c>
      <c r="Q15" s="440">
        <f t="shared" si="41"/>
        <v>53328.701356801321</v>
      </c>
      <c r="R15" s="441">
        <f t="shared" si="43"/>
        <v>58661.571492481453</v>
      </c>
      <c r="S15" s="442">
        <f t="shared" si="13"/>
        <v>63994.441628161585</v>
      </c>
      <c r="T15" s="442">
        <f t="shared" si="42"/>
        <v>69327.311763841717</v>
      </c>
      <c r="U15" s="443">
        <f>Q15*15/100</f>
        <v>7999.3052035201981</v>
      </c>
      <c r="V15" s="443">
        <f>Q15*30/100</f>
        <v>15998.610407040396</v>
      </c>
      <c r="W15" s="444">
        <f>Q15*60/100+Q15</f>
        <v>85325.922170882113</v>
      </c>
      <c r="X15" s="443">
        <f>Q15*10/100</f>
        <v>5332.8701356801321</v>
      </c>
      <c r="Y15" s="443">
        <f>Q15*20/100</f>
        <v>10665.740271360264</v>
      </c>
      <c r="Z15" s="445">
        <f>Q15*39/100</f>
        <v>20798.193529152515</v>
      </c>
      <c r="AA15" s="445">
        <f t="shared" ref="AA15:AA20" si="47">Q15*9.8/100</f>
        <v>5226.21273296653</v>
      </c>
      <c r="AB15" s="446">
        <f t="shared" ref="AB15:AB20" si="48">Q15*108.8/100+Q15</f>
        <v>111350.32843300115</v>
      </c>
      <c r="AC15" s="447">
        <f t="shared" si="20"/>
        <v>12248.536127630128</v>
      </c>
      <c r="AD15" s="448">
        <f t="shared" si="21"/>
        <v>27837.582108250288</v>
      </c>
      <c r="AE15" s="449">
        <f t="shared" si="22"/>
        <v>139187.91054125145</v>
      </c>
      <c r="AF15" s="448">
        <f>AB15*15/100</f>
        <v>16702.549264950172</v>
      </c>
      <c r="AG15" s="448">
        <f>AB15*27.5/100</f>
        <v>30621.34031907532</v>
      </c>
      <c r="AH15" s="448">
        <f>AB15*45/100</f>
        <v>50107.647794850513</v>
      </c>
      <c r="AI15" s="448">
        <f>AB15*68.1/100</f>
        <v>75829.57366287378</v>
      </c>
      <c r="AJ15" s="449">
        <f>AB15*93.1/100+AB15</f>
        <v>215017.48420412521</v>
      </c>
      <c r="AK15" s="450">
        <f>AB15*55/100</f>
        <v>61242.680638150639</v>
      </c>
      <c r="AL15" s="450">
        <f>AB15*91.4/100</f>
        <v>101774.20018776305</v>
      </c>
      <c r="AM15" s="450">
        <f>AB15*103.9/100</f>
        <v>115692.9912418882</v>
      </c>
      <c r="AN15" s="451">
        <f>AB15*15.7/100</f>
        <v>17482.001563981179</v>
      </c>
      <c r="AO15" s="451">
        <f>AB15*25.05/100</f>
        <v>27893.257272466788</v>
      </c>
      <c r="AP15" s="643">
        <f>AB15*257.48/100+AB15</f>
        <v>398055.15408229257</v>
      </c>
      <c r="AQ15" s="380">
        <f>AP15*8.8/100</f>
        <v>35028.853559241754</v>
      </c>
      <c r="AR15" s="381">
        <f>AP15*8.8/100+AP15</f>
        <v>433084.00764153432</v>
      </c>
      <c r="AS15" s="380">
        <f>AP15*4.57/100</f>
        <v>18191.120541560769</v>
      </c>
      <c r="AT15" s="381">
        <f>AP15*13.37/100+AP15</f>
        <v>451275.12818309508</v>
      </c>
      <c r="AU15" s="380">
        <f>AP15*9.96/100</f>
        <v>39646.293346596343</v>
      </c>
      <c r="AV15" s="381">
        <f>AP15*28.51/100+AP15</f>
        <v>511540.6785111542</v>
      </c>
      <c r="AW15" s="380">
        <f>AP15*4/100</f>
        <v>15922.206163291703</v>
      </c>
      <c r="AX15" s="160"/>
      <c r="AY15" s="308"/>
      <c r="AZ15" s="160"/>
      <c r="BA15" s="160"/>
    </row>
    <row r="16" spans="2:53" ht="15.75" thickBot="1" x14ac:dyDescent="0.3">
      <c r="B16" s="263"/>
      <c r="C16" s="427">
        <v>9</v>
      </c>
      <c r="D16" s="428">
        <f t="shared" si="44"/>
        <v>11093.25</v>
      </c>
      <c r="E16" s="429">
        <f t="shared" si="44"/>
        <v>15530.2</v>
      </c>
      <c r="F16" s="430">
        <f t="shared" si="44"/>
        <v>17194.537499999999</v>
      </c>
      <c r="G16" s="431">
        <f t="shared" si="44"/>
        <v>18913.991249999999</v>
      </c>
      <c r="H16" s="432">
        <f t="shared" si="44"/>
        <v>20461.499625</v>
      </c>
      <c r="I16" s="433">
        <f t="shared" si="44"/>
        <v>21183.6702</v>
      </c>
      <c r="J16" s="434">
        <f t="shared" si="44"/>
        <v>22731.178574999998</v>
      </c>
      <c r="K16" s="435">
        <f t="shared" si="44"/>
        <v>25052.441137500002</v>
      </c>
      <c r="L16" s="436">
        <f t="shared" si="45"/>
        <v>32568.173478750003</v>
      </c>
      <c r="M16" s="437">
        <f t="shared" si="46"/>
        <v>36326.039649375001</v>
      </c>
      <c r="N16" s="438">
        <f t="shared" si="10"/>
        <v>41774.945596781254</v>
      </c>
      <c r="O16" s="439">
        <f t="shared" si="11"/>
        <v>45407.549561718755</v>
      </c>
      <c r="P16" s="440">
        <f t="shared" si="12"/>
        <v>49040.15352665625</v>
      </c>
      <c r="Q16" s="440">
        <f t="shared" si="41"/>
        <v>57329.755774643621</v>
      </c>
      <c r="R16" s="367">
        <f t="shared" si="43"/>
        <v>63062.731352107985</v>
      </c>
      <c r="S16" s="368">
        <f t="shared" si="13"/>
        <v>68795.706929572349</v>
      </c>
      <c r="T16" s="368">
        <f t="shared" si="42"/>
        <v>74528.682507036705</v>
      </c>
      <c r="U16" s="452">
        <f t="shared" ref="U16:U20" si="49">Q16*15/100</f>
        <v>8599.4633661965436</v>
      </c>
      <c r="V16" s="452">
        <f t="shared" ref="V16:V20" si="50">Q16*30/100</f>
        <v>17198.926732393087</v>
      </c>
      <c r="W16" s="453">
        <f t="shared" ref="W16:W20" si="51">Q16*60/100+Q16</f>
        <v>91727.609239429788</v>
      </c>
      <c r="X16" s="443">
        <f t="shared" ref="X16:X20" si="52">Q16*10/100</f>
        <v>5732.9755774643618</v>
      </c>
      <c r="Y16" s="443">
        <f t="shared" ref="Y16:Y20" si="53">Q16*20/100</f>
        <v>11465.951154928724</v>
      </c>
      <c r="Z16" s="445">
        <f t="shared" ref="Z16:Z20" si="54">Q16*39/100</f>
        <v>22358.604752111012</v>
      </c>
      <c r="AA16" s="445">
        <f t="shared" si="47"/>
        <v>5618.3160659150753</v>
      </c>
      <c r="AB16" s="446">
        <f t="shared" si="48"/>
        <v>119704.53005745588</v>
      </c>
      <c r="AC16" s="373">
        <f t="shared" si="20"/>
        <v>13167.498306320147</v>
      </c>
      <c r="AD16" s="374">
        <f t="shared" si="21"/>
        <v>29926.13251436397</v>
      </c>
      <c r="AE16" s="376">
        <f t="shared" si="22"/>
        <v>149630.66257181985</v>
      </c>
      <c r="AF16" s="374">
        <f t="shared" ref="AF16:AF20" si="55">AB16*15/100</f>
        <v>17955.679508618381</v>
      </c>
      <c r="AG16" s="374">
        <f t="shared" ref="AG16:AG20" si="56">AB16*27.5/100</f>
        <v>32918.745765800362</v>
      </c>
      <c r="AH16" s="448">
        <f t="shared" ref="AH16:AH20" si="57">AB16*45/100</f>
        <v>53867.038525855147</v>
      </c>
      <c r="AI16" s="448">
        <f t="shared" ref="AI16:AI20" si="58">AB16*68.1/100</f>
        <v>81518.784969127446</v>
      </c>
      <c r="AJ16" s="449">
        <f t="shared" ref="AJ16:AJ20" si="59">AB16*93.1/100+AB16</f>
        <v>231149.44754094729</v>
      </c>
      <c r="AK16" s="450">
        <f t="shared" ref="AK16:AK20" si="60">AB16*55/100</f>
        <v>65837.491531600725</v>
      </c>
      <c r="AL16" s="450">
        <f t="shared" ref="AL16:AL20" si="61">AB16*91.4/100</f>
        <v>109409.94047251469</v>
      </c>
      <c r="AM16" s="450">
        <f t="shared" ref="AM16:AM20" si="62">AB16*103.9/100</f>
        <v>124373.00672969667</v>
      </c>
      <c r="AN16" s="451">
        <f t="shared" ref="AN16:AN20" si="63">AB16*15.7/100</f>
        <v>18793.611219020571</v>
      </c>
      <c r="AO16" s="451">
        <f t="shared" ref="AO16:AO20" si="64">AB16*25.05/100</f>
        <v>29985.9847793927</v>
      </c>
      <c r="AP16" s="643">
        <f t="shared" ref="AP16:AP20" si="65">AB16*257.48/100+AB16</f>
        <v>427919.75404939329</v>
      </c>
      <c r="AQ16" s="380">
        <f t="shared" ref="AQ16:AQ20" si="66">AP16*8.8/100</f>
        <v>37656.938356346611</v>
      </c>
      <c r="AR16" s="381">
        <f t="shared" ref="AR16:AR20" si="67">AP16*8.8/100+AP16</f>
        <v>465576.69240573992</v>
      </c>
      <c r="AS16" s="380">
        <f t="shared" ref="AS16:AS20" si="68">AP16*4.57/100</f>
        <v>19555.932760057276</v>
      </c>
      <c r="AT16" s="381">
        <f t="shared" ref="AT16:AT20" si="69">AP16*13.37/100+AP16</f>
        <v>485132.62516579719</v>
      </c>
      <c r="AU16" s="380">
        <f t="shared" ref="AU16:AU20" si="70">AP16*9.96/100</f>
        <v>42620.807503319578</v>
      </c>
      <c r="AV16" s="646">
        <f t="shared" ref="AV16:AV20" si="71">AP16*28.51/100+AP16</f>
        <v>549919.67592887534</v>
      </c>
      <c r="AW16" s="380">
        <f t="shared" ref="AW16:AW20" si="72">AP16*4/100</f>
        <v>17116.790161975732</v>
      </c>
      <c r="AX16" s="160"/>
      <c r="AY16" s="308"/>
      <c r="AZ16" s="160"/>
      <c r="BA16" s="160"/>
    </row>
    <row r="17" spans="2:53" ht="15.75" thickBot="1" x14ac:dyDescent="0.3">
      <c r="B17" s="263"/>
      <c r="C17" s="427">
        <v>10</v>
      </c>
      <c r="D17" s="428">
        <f t="shared" si="44"/>
        <v>11925.55</v>
      </c>
      <c r="E17" s="429">
        <f t="shared" si="44"/>
        <v>16695.7</v>
      </c>
      <c r="F17" s="430">
        <f t="shared" si="44"/>
        <v>18484.602500000001</v>
      </c>
      <c r="G17" s="431">
        <f t="shared" si="44"/>
        <v>20333.062750000001</v>
      </c>
      <c r="H17" s="432">
        <f t="shared" si="44"/>
        <v>21996.676975000002</v>
      </c>
      <c r="I17" s="433">
        <f t="shared" si="44"/>
        <v>22773.030279999999</v>
      </c>
      <c r="J17" s="434">
        <f t="shared" si="44"/>
        <v>24436.644505000004</v>
      </c>
      <c r="K17" s="435">
        <f t="shared" si="44"/>
        <v>26932.065842500004</v>
      </c>
      <c r="L17" s="436">
        <f t="shared" si="45"/>
        <v>35011.685595250005</v>
      </c>
      <c r="M17" s="437">
        <f t="shared" si="46"/>
        <v>39051.495471625007</v>
      </c>
      <c r="N17" s="438">
        <f t="shared" si="10"/>
        <v>44909.219792368756</v>
      </c>
      <c r="O17" s="439">
        <f t="shared" si="11"/>
        <v>48814.369339531258</v>
      </c>
      <c r="P17" s="440">
        <f t="shared" si="12"/>
        <v>52719.518886693761</v>
      </c>
      <c r="Q17" s="440">
        <f t="shared" si="41"/>
        <v>61631.070153318593</v>
      </c>
      <c r="R17" s="367">
        <f t="shared" si="43"/>
        <v>67794.177168650451</v>
      </c>
      <c r="S17" s="368">
        <f t="shared" si="13"/>
        <v>73957.284183982309</v>
      </c>
      <c r="T17" s="368">
        <f t="shared" si="42"/>
        <v>80120.391199314166</v>
      </c>
      <c r="U17" s="452">
        <f t="shared" si="49"/>
        <v>9244.6605229977886</v>
      </c>
      <c r="V17" s="452">
        <f t="shared" si="50"/>
        <v>18489.321045995577</v>
      </c>
      <c r="W17" s="453">
        <f t="shared" si="51"/>
        <v>98609.712245309755</v>
      </c>
      <c r="X17" s="443">
        <f t="shared" si="52"/>
        <v>6163.1070153318587</v>
      </c>
      <c r="Y17" s="443">
        <f t="shared" si="53"/>
        <v>12326.214030663717</v>
      </c>
      <c r="Z17" s="445">
        <f t="shared" si="54"/>
        <v>24036.117359794254</v>
      </c>
      <c r="AA17" s="445">
        <f t="shared" si="47"/>
        <v>6039.8448750252228</v>
      </c>
      <c r="AB17" s="446">
        <f t="shared" si="48"/>
        <v>128685.67448012922</v>
      </c>
      <c r="AC17" s="373">
        <f t="shared" si="20"/>
        <v>14155.424192814215</v>
      </c>
      <c r="AD17" s="374">
        <f t="shared" si="21"/>
        <v>32171.418620032306</v>
      </c>
      <c r="AE17" s="376">
        <f t="shared" si="22"/>
        <v>160857.09310016152</v>
      </c>
      <c r="AF17" s="374">
        <f t="shared" si="55"/>
        <v>19302.851172019382</v>
      </c>
      <c r="AG17" s="374">
        <f t="shared" si="56"/>
        <v>35388.560482035537</v>
      </c>
      <c r="AH17" s="448">
        <f t="shared" si="57"/>
        <v>57908.553516058149</v>
      </c>
      <c r="AI17" s="448">
        <f t="shared" si="58"/>
        <v>87634.944320968003</v>
      </c>
      <c r="AJ17" s="449">
        <f t="shared" si="59"/>
        <v>248492.03742112953</v>
      </c>
      <c r="AK17" s="450">
        <f t="shared" si="60"/>
        <v>70777.120964071073</v>
      </c>
      <c r="AL17" s="450">
        <f t="shared" si="61"/>
        <v>117618.70647483811</v>
      </c>
      <c r="AM17" s="450">
        <f t="shared" si="62"/>
        <v>133704.41578485427</v>
      </c>
      <c r="AN17" s="451">
        <f t="shared" si="63"/>
        <v>20203.650893380287</v>
      </c>
      <c r="AO17" s="451">
        <f t="shared" si="64"/>
        <v>32235.761457272372</v>
      </c>
      <c r="AP17" s="643">
        <f t="shared" si="65"/>
        <v>460025.54913156596</v>
      </c>
      <c r="AQ17" s="380">
        <f t="shared" si="66"/>
        <v>40482.248323577813</v>
      </c>
      <c r="AR17" s="381">
        <f t="shared" si="67"/>
        <v>500507.79745514377</v>
      </c>
      <c r="AS17" s="380">
        <f t="shared" si="68"/>
        <v>21023.167595312567</v>
      </c>
      <c r="AT17" s="381">
        <f t="shared" si="69"/>
        <v>521530.96505045635</v>
      </c>
      <c r="AU17" s="380">
        <f t="shared" si="70"/>
        <v>45818.544693503973</v>
      </c>
      <c r="AV17" s="646">
        <f t="shared" si="71"/>
        <v>591178.83318897546</v>
      </c>
      <c r="AW17" s="380">
        <f t="shared" si="72"/>
        <v>18401.02196526264</v>
      </c>
      <c r="AX17" s="160"/>
      <c r="AY17" s="308"/>
      <c r="AZ17" s="160"/>
      <c r="BA17" s="160"/>
    </row>
    <row r="18" spans="2:53" ht="15.75" thickBot="1" x14ac:dyDescent="0.3">
      <c r="B18" s="263"/>
      <c r="C18" s="427">
        <v>11</v>
      </c>
      <c r="D18" s="428">
        <f t="shared" si="44"/>
        <v>12819.8</v>
      </c>
      <c r="E18" s="429">
        <f t="shared" si="44"/>
        <v>17948</v>
      </c>
      <c r="F18" s="430">
        <f t="shared" si="44"/>
        <v>19870.689999999999</v>
      </c>
      <c r="G18" s="431">
        <f t="shared" si="44"/>
        <v>21857.759000000005</v>
      </c>
      <c r="H18" s="432">
        <f t="shared" si="44"/>
        <v>23646.121100000004</v>
      </c>
      <c r="I18" s="433">
        <f t="shared" si="44"/>
        <v>24480.69008</v>
      </c>
      <c r="J18" s="434">
        <f t="shared" si="44"/>
        <v>26269.052179999999</v>
      </c>
      <c r="K18" s="435">
        <f t="shared" si="44"/>
        <v>28951.595330000004</v>
      </c>
      <c r="L18" s="436">
        <f t="shared" si="45"/>
        <v>37637.073929000006</v>
      </c>
      <c r="M18" s="437">
        <f t="shared" si="46"/>
        <v>41979.813228500003</v>
      </c>
      <c r="N18" s="438">
        <f t="shared" si="10"/>
        <v>48276.785212775001</v>
      </c>
      <c r="O18" s="439">
        <f t="shared" si="11"/>
        <v>52474.766535625007</v>
      </c>
      <c r="P18" s="440">
        <f t="shared" si="12"/>
        <v>56672.747858475006</v>
      </c>
      <c r="Q18" s="440">
        <f t="shared" si="41"/>
        <v>66252.541237218698</v>
      </c>
      <c r="R18" s="367">
        <f t="shared" si="43"/>
        <v>72877.795360940567</v>
      </c>
      <c r="S18" s="368">
        <f t="shared" si="13"/>
        <v>79503.049484662435</v>
      </c>
      <c r="T18" s="368">
        <f t="shared" si="42"/>
        <v>86128.303608384304</v>
      </c>
      <c r="U18" s="452">
        <f t="shared" si="49"/>
        <v>9937.8811855828044</v>
      </c>
      <c r="V18" s="452">
        <f t="shared" si="50"/>
        <v>19875.762371165609</v>
      </c>
      <c r="W18" s="453">
        <f t="shared" si="51"/>
        <v>106004.06597954992</v>
      </c>
      <c r="X18" s="443">
        <f t="shared" si="52"/>
        <v>6625.2541237218702</v>
      </c>
      <c r="Y18" s="443">
        <f t="shared" si="53"/>
        <v>13250.50824744374</v>
      </c>
      <c r="Z18" s="445">
        <f t="shared" si="54"/>
        <v>25838.491082515291</v>
      </c>
      <c r="AA18" s="445">
        <f t="shared" si="47"/>
        <v>6492.7490412474326</v>
      </c>
      <c r="AB18" s="446">
        <f t="shared" si="48"/>
        <v>138335.30610331264</v>
      </c>
      <c r="AC18" s="373">
        <f t="shared" si="20"/>
        <v>15216.88367136439</v>
      </c>
      <c r="AD18" s="374">
        <f t="shared" si="21"/>
        <v>34583.826525828161</v>
      </c>
      <c r="AE18" s="376">
        <f t="shared" si="22"/>
        <v>172919.1326291408</v>
      </c>
      <c r="AF18" s="374">
        <f t="shared" si="55"/>
        <v>20750.295915496896</v>
      </c>
      <c r="AG18" s="374">
        <f t="shared" si="56"/>
        <v>38042.20917841098</v>
      </c>
      <c r="AH18" s="448">
        <f t="shared" si="57"/>
        <v>62250.887746490684</v>
      </c>
      <c r="AI18" s="448">
        <f t="shared" si="58"/>
        <v>94206.343456355913</v>
      </c>
      <c r="AJ18" s="449">
        <f t="shared" si="59"/>
        <v>267125.47608549672</v>
      </c>
      <c r="AK18" s="450">
        <f t="shared" si="60"/>
        <v>76084.41835682196</v>
      </c>
      <c r="AL18" s="450">
        <f t="shared" si="61"/>
        <v>126438.46977842777</v>
      </c>
      <c r="AM18" s="450">
        <f t="shared" si="62"/>
        <v>143730.38304134185</v>
      </c>
      <c r="AN18" s="451">
        <f t="shared" si="63"/>
        <v>21718.643058220085</v>
      </c>
      <c r="AO18" s="451">
        <f t="shared" si="64"/>
        <v>34652.994178879817</v>
      </c>
      <c r="AP18" s="643">
        <f t="shared" si="65"/>
        <v>494521.05225812207</v>
      </c>
      <c r="AQ18" s="380">
        <f t="shared" si="66"/>
        <v>43517.852598714744</v>
      </c>
      <c r="AR18" s="381">
        <f t="shared" si="67"/>
        <v>538038.90485683677</v>
      </c>
      <c r="AS18" s="380">
        <f t="shared" si="68"/>
        <v>22599.61208819618</v>
      </c>
      <c r="AT18" s="381">
        <f t="shared" si="69"/>
        <v>560638.51694503298</v>
      </c>
      <c r="AU18" s="380">
        <f t="shared" si="70"/>
        <v>49254.296804908961</v>
      </c>
      <c r="AV18" s="646">
        <f t="shared" si="71"/>
        <v>635509.00425691274</v>
      </c>
      <c r="AW18" s="380">
        <f t="shared" si="72"/>
        <v>19780.842090324884</v>
      </c>
      <c r="AX18" s="160"/>
      <c r="AY18" s="308"/>
      <c r="AZ18" s="160"/>
      <c r="BA18" s="160"/>
    </row>
    <row r="19" spans="2:53" ht="15.75" thickBot="1" x14ac:dyDescent="0.3">
      <c r="B19" s="263"/>
      <c r="C19" s="454">
        <v>12</v>
      </c>
      <c r="D19" s="428">
        <f t="shared" si="44"/>
        <v>13781.6</v>
      </c>
      <c r="E19" s="429">
        <f t="shared" si="44"/>
        <v>19294.099999999999</v>
      </c>
      <c r="F19" s="430">
        <f t="shared" si="44"/>
        <v>21361.48</v>
      </c>
      <c r="G19" s="431">
        <f t="shared" si="44"/>
        <v>23497.628000000004</v>
      </c>
      <c r="H19" s="432">
        <f t="shared" si="44"/>
        <v>25420.161200000002</v>
      </c>
      <c r="I19" s="433">
        <f t="shared" si="44"/>
        <v>26317.343360000003</v>
      </c>
      <c r="J19" s="434">
        <f t="shared" si="44"/>
        <v>28239.876560000001</v>
      </c>
      <c r="K19" s="435">
        <f t="shared" si="44"/>
        <v>31123.676359999998</v>
      </c>
      <c r="L19" s="436">
        <f t="shared" si="45"/>
        <v>40460.779267999998</v>
      </c>
      <c r="M19" s="437">
        <f t="shared" si="46"/>
        <v>45129.330721999999</v>
      </c>
      <c r="N19" s="438">
        <f t="shared" si="10"/>
        <v>51898.730330300001</v>
      </c>
      <c r="O19" s="439">
        <f t="shared" si="11"/>
        <v>56411.663402500002</v>
      </c>
      <c r="P19" s="440">
        <f t="shared" si="12"/>
        <v>60924.596474699996</v>
      </c>
      <c r="Q19" s="440">
        <f t="shared" si="41"/>
        <v>71223.109745460402</v>
      </c>
      <c r="R19" s="367">
        <f t="shared" si="43"/>
        <v>78345.420720006441</v>
      </c>
      <c r="S19" s="368">
        <f t="shared" si="13"/>
        <v>85467.73169455248</v>
      </c>
      <c r="T19" s="368">
        <f t="shared" si="42"/>
        <v>92590.042669098533</v>
      </c>
      <c r="U19" s="452">
        <f t="shared" si="49"/>
        <v>10683.466461819062</v>
      </c>
      <c r="V19" s="452">
        <f t="shared" si="50"/>
        <v>21366.932923638124</v>
      </c>
      <c r="W19" s="453">
        <f t="shared" si="51"/>
        <v>113956.97559273665</v>
      </c>
      <c r="X19" s="443">
        <f t="shared" si="52"/>
        <v>7122.3109745460397</v>
      </c>
      <c r="Y19" s="443">
        <f t="shared" si="53"/>
        <v>14244.621949092079</v>
      </c>
      <c r="Z19" s="445">
        <f t="shared" si="54"/>
        <v>27777.012800729557</v>
      </c>
      <c r="AA19" s="445">
        <f t="shared" si="47"/>
        <v>6979.8647550551195</v>
      </c>
      <c r="AB19" s="446">
        <f t="shared" si="48"/>
        <v>148713.85314852133</v>
      </c>
      <c r="AC19" s="373">
        <f t="shared" si="20"/>
        <v>16358.523846337346</v>
      </c>
      <c r="AD19" s="374">
        <f t="shared" si="21"/>
        <v>37178.463287130333</v>
      </c>
      <c r="AE19" s="376">
        <f t="shared" si="22"/>
        <v>185892.31643565168</v>
      </c>
      <c r="AF19" s="374">
        <f t="shared" si="55"/>
        <v>22307.077972278199</v>
      </c>
      <c r="AG19" s="374">
        <f t="shared" si="56"/>
        <v>40896.309615843369</v>
      </c>
      <c r="AH19" s="448">
        <f t="shared" si="57"/>
        <v>66921.233916834608</v>
      </c>
      <c r="AI19" s="448">
        <f t="shared" si="58"/>
        <v>101274.13399414301</v>
      </c>
      <c r="AJ19" s="449">
        <f t="shared" si="59"/>
        <v>287166.45042979467</v>
      </c>
      <c r="AK19" s="450">
        <f t="shared" si="60"/>
        <v>81792.619231686738</v>
      </c>
      <c r="AL19" s="450">
        <f t="shared" si="61"/>
        <v>135924.46177774851</v>
      </c>
      <c r="AM19" s="450">
        <f t="shared" si="62"/>
        <v>154513.69342131366</v>
      </c>
      <c r="AN19" s="451">
        <f t="shared" si="63"/>
        <v>23348.07494431785</v>
      </c>
      <c r="AO19" s="451">
        <f t="shared" si="64"/>
        <v>37252.820213704596</v>
      </c>
      <c r="AP19" s="643">
        <f t="shared" si="65"/>
        <v>531622.28223533405</v>
      </c>
      <c r="AQ19" s="380">
        <f t="shared" si="66"/>
        <v>46782.7608367094</v>
      </c>
      <c r="AR19" s="381">
        <f t="shared" si="67"/>
        <v>578405.04307204345</v>
      </c>
      <c r="AS19" s="380">
        <f t="shared" si="68"/>
        <v>24295.138298154765</v>
      </c>
      <c r="AT19" s="381">
        <f t="shared" si="69"/>
        <v>602700.18137019826</v>
      </c>
      <c r="AU19" s="380">
        <f t="shared" si="70"/>
        <v>52949.579310639274</v>
      </c>
      <c r="AV19" s="646">
        <f t="shared" si="71"/>
        <v>683187.79490062781</v>
      </c>
      <c r="AW19" s="380">
        <f t="shared" si="72"/>
        <v>21264.891289413361</v>
      </c>
      <c r="AX19" s="160"/>
      <c r="AY19" s="308"/>
      <c r="AZ19" s="160"/>
      <c r="BA19" s="160"/>
    </row>
    <row r="20" spans="2:53" ht="15.75" thickBot="1" x14ac:dyDescent="0.3">
      <c r="B20" s="263"/>
      <c r="C20" s="427">
        <v>13</v>
      </c>
      <c r="D20" s="455">
        <f t="shared" si="44"/>
        <v>14815.15</v>
      </c>
      <c r="E20" s="429">
        <f t="shared" si="44"/>
        <v>20751.849999999999</v>
      </c>
      <c r="F20" s="430">
        <f t="shared" si="44"/>
        <v>22963.482499999998</v>
      </c>
      <c r="G20" s="456">
        <f t="shared" si="44"/>
        <v>25259.830749999997</v>
      </c>
      <c r="H20" s="457">
        <f t="shared" si="44"/>
        <v>27326.544174999995</v>
      </c>
      <c r="I20" s="458">
        <f t="shared" si="44"/>
        <v>28291.010440000002</v>
      </c>
      <c r="J20" s="459">
        <f t="shared" si="44"/>
        <v>30357.723865</v>
      </c>
      <c r="K20" s="460">
        <f t="shared" si="44"/>
        <v>33457.794002499999</v>
      </c>
      <c r="L20" s="436">
        <f t="shared" si="45"/>
        <v>43495.132203249996</v>
      </c>
      <c r="M20" s="461">
        <f t="shared" si="46"/>
        <v>48513.801303624998</v>
      </c>
      <c r="N20" s="462">
        <f t="shared" si="10"/>
        <v>55790.871499168745</v>
      </c>
      <c r="O20" s="463">
        <f t="shared" si="11"/>
        <v>60642.251629531245</v>
      </c>
      <c r="P20" s="464">
        <f t="shared" si="12"/>
        <v>65493.631759893746</v>
      </c>
      <c r="Q20" s="464">
        <f t="shared" si="41"/>
        <v>76564.481217380962</v>
      </c>
      <c r="R20" s="465">
        <f t="shared" si="43"/>
        <v>84220.929339119059</v>
      </c>
      <c r="S20" s="466">
        <f t="shared" si="13"/>
        <v>91877.377460857155</v>
      </c>
      <c r="T20" s="466">
        <f t="shared" si="42"/>
        <v>99533.825582595251</v>
      </c>
      <c r="U20" s="467">
        <f t="shared" si="49"/>
        <v>11484.672182607143</v>
      </c>
      <c r="V20" s="467">
        <f t="shared" si="50"/>
        <v>22969.344365214285</v>
      </c>
      <c r="W20" s="468">
        <f t="shared" si="51"/>
        <v>122503.16994780954</v>
      </c>
      <c r="X20" s="469">
        <f t="shared" si="52"/>
        <v>7656.4481217380962</v>
      </c>
      <c r="Y20" s="469">
        <f t="shared" si="53"/>
        <v>15312.896243476192</v>
      </c>
      <c r="Z20" s="470">
        <f t="shared" si="54"/>
        <v>29860.147674778575</v>
      </c>
      <c r="AA20" s="445">
        <f t="shared" si="47"/>
        <v>7503.3191593033343</v>
      </c>
      <c r="AB20" s="446">
        <f t="shared" si="48"/>
        <v>159866.63678189146</v>
      </c>
      <c r="AC20" s="471">
        <f t="shared" si="20"/>
        <v>17585.330046008061</v>
      </c>
      <c r="AD20" s="472">
        <f t="shared" si="21"/>
        <v>39966.659195472865</v>
      </c>
      <c r="AE20" s="473">
        <f t="shared" si="22"/>
        <v>199833.29597736432</v>
      </c>
      <c r="AF20" s="472">
        <f t="shared" si="55"/>
        <v>23979.995517283722</v>
      </c>
      <c r="AG20" s="472">
        <f t="shared" si="56"/>
        <v>43963.325115020154</v>
      </c>
      <c r="AH20" s="448">
        <f t="shared" si="57"/>
        <v>71939.986551851151</v>
      </c>
      <c r="AI20" s="448">
        <f t="shared" si="58"/>
        <v>108869.17964846807</v>
      </c>
      <c r="AJ20" s="449">
        <f t="shared" si="59"/>
        <v>308702.47562583239</v>
      </c>
      <c r="AK20" s="450">
        <f t="shared" si="60"/>
        <v>87926.650230040308</v>
      </c>
      <c r="AL20" s="450">
        <f t="shared" si="61"/>
        <v>146118.1060186488</v>
      </c>
      <c r="AM20" s="450">
        <f t="shared" si="62"/>
        <v>166101.43561638522</v>
      </c>
      <c r="AN20" s="451">
        <f t="shared" si="63"/>
        <v>25099.061974756958</v>
      </c>
      <c r="AO20" s="451">
        <f t="shared" si="64"/>
        <v>40046.592513863812</v>
      </c>
      <c r="AP20" s="643">
        <f t="shared" si="65"/>
        <v>571491.25316790561</v>
      </c>
      <c r="AQ20" s="380">
        <f t="shared" si="66"/>
        <v>50291.2302787757</v>
      </c>
      <c r="AR20" s="381">
        <f t="shared" si="67"/>
        <v>621782.48344668129</v>
      </c>
      <c r="AS20" s="380">
        <f t="shared" si="68"/>
        <v>26117.150269773287</v>
      </c>
      <c r="AT20" s="381">
        <f t="shared" si="69"/>
        <v>647899.63371645461</v>
      </c>
      <c r="AU20" s="380">
        <f t="shared" si="70"/>
        <v>56920.528815523401</v>
      </c>
      <c r="AV20" s="646">
        <f t="shared" si="71"/>
        <v>734423.40944607556</v>
      </c>
      <c r="AW20" s="380">
        <f t="shared" si="72"/>
        <v>22859.650126716224</v>
      </c>
      <c r="AX20" s="160"/>
      <c r="AY20" s="308"/>
      <c r="AZ20" s="160"/>
      <c r="BA20" s="160"/>
    </row>
    <row r="21" spans="2:53" ht="15.75" customHeight="1" thickBot="1" x14ac:dyDescent="0.3">
      <c r="B21" s="263"/>
      <c r="C21" s="124" t="s">
        <v>0</v>
      </c>
      <c r="D21" s="957" t="s">
        <v>133</v>
      </c>
      <c r="E21" s="958"/>
      <c r="F21" s="959"/>
      <c r="G21" s="963" t="s">
        <v>133</v>
      </c>
      <c r="H21" s="964"/>
      <c r="I21" s="964"/>
      <c r="J21" s="964"/>
      <c r="K21" s="965"/>
      <c r="L21" s="972" t="s">
        <v>133</v>
      </c>
      <c r="M21" s="973"/>
      <c r="N21" s="917" t="s">
        <v>133</v>
      </c>
      <c r="O21" s="918"/>
      <c r="P21" s="918"/>
      <c r="Q21" s="918"/>
      <c r="R21" s="953" t="s">
        <v>133</v>
      </c>
      <c r="S21" s="954"/>
      <c r="T21" s="954"/>
      <c r="U21" s="954"/>
      <c r="V21" s="954"/>
      <c r="W21" s="954"/>
      <c r="X21" s="954"/>
      <c r="Y21" s="954"/>
      <c r="Z21" s="954"/>
      <c r="AA21" s="954"/>
      <c r="AB21" s="954"/>
      <c r="AC21" s="932" t="s">
        <v>133</v>
      </c>
      <c r="AD21" s="933"/>
      <c r="AE21" s="933"/>
      <c r="AF21" s="933"/>
      <c r="AG21" s="933"/>
      <c r="AH21" s="933"/>
      <c r="AI21" s="933"/>
      <c r="AJ21" s="933"/>
      <c r="AK21" s="933"/>
      <c r="AL21" s="933"/>
      <c r="AM21" s="933"/>
      <c r="AN21" s="933"/>
      <c r="AO21" s="933"/>
      <c r="AP21" s="873" t="s">
        <v>133</v>
      </c>
      <c r="AQ21" s="873"/>
      <c r="AR21" s="873"/>
      <c r="AS21" s="873"/>
      <c r="AT21" s="873"/>
      <c r="AU21" s="873"/>
      <c r="AV21" s="873"/>
      <c r="AW21" s="873"/>
      <c r="AX21" s="160"/>
      <c r="AY21" s="308"/>
      <c r="AZ21" s="160"/>
      <c r="BA21" s="160"/>
    </row>
    <row r="22" spans="2:53" x14ac:dyDescent="0.25">
      <c r="B22" s="263"/>
      <c r="C22" s="427">
        <v>8</v>
      </c>
      <c r="D22" s="428">
        <f>D7*24/100</f>
        <v>7075.92</v>
      </c>
      <c r="E22" s="428">
        <f t="shared" ref="E22:AB27" si="73">E7*24/100</f>
        <v>9906.48</v>
      </c>
      <c r="F22" s="428">
        <f t="shared" si="73"/>
        <v>10967.676000000001</v>
      </c>
      <c r="G22" s="474">
        <f t="shared" si="73"/>
        <v>12064.443599999999</v>
      </c>
      <c r="H22" s="474">
        <f t="shared" si="73"/>
        <v>13051.534440000001</v>
      </c>
      <c r="I22" s="474">
        <f t="shared" si="73"/>
        <v>13512.176831999999</v>
      </c>
      <c r="J22" s="474">
        <f t="shared" si="73"/>
        <v>14499.267672000002</v>
      </c>
      <c r="K22" s="474">
        <f t="shared" si="73"/>
        <v>15979.903932000003</v>
      </c>
      <c r="L22" s="428">
        <f t="shared" si="73"/>
        <v>20773.875111600002</v>
      </c>
      <c r="M22" s="428">
        <f t="shared" si="73"/>
        <v>23170.860701400004</v>
      </c>
      <c r="N22" s="474">
        <f t="shared" si="73"/>
        <v>26646.48980661</v>
      </c>
      <c r="O22" s="474">
        <f t="shared" si="73"/>
        <v>28963.575876750005</v>
      </c>
      <c r="P22" s="474">
        <f t="shared" si="73"/>
        <v>31280.66194689001</v>
      </c>
      <c r="Q22" s="474">
        <f t="shared" si="73"/>
        <v>36568.252358949489</v>
      </c>
      <c r="R22" s="475">
        <f t="shared" si="73"/>
        <v>40225.077594844435</v>
      </c>
      <c r="S22" s="476">
        <f t="shared" si="73"/>
        <v>43881.902830739382</v>
      </c>
      <c r="T22" s="476">
        <f t="shared" si="73"/>
        <v>47538.728066634329</v>
      </c>
      <c r="U22" s="477">
        <f t="shared" si="73"/>
        <v>5485.2378538424227</v>
      </c>
      <c r="V22" s="477">
        <f t="shared" si="73"/>
        <v>10970.475707684845</v>
      </c>
      <c r="W22" s="476">
        <f t="shared" si="73"/>
        <v>58509.203774319176</v>
      </c>
      <c r="X22" s="477">
        <f t="shared" si="73"/>
        <v>3656.8252358949494</v>
      </c>
      <c r="Y22" s="477">
        <f t="shared" si="73"/>
        <v>7313.6504717898988</v>
      </c>
      <c r="Z22" s="477">
        <f t="shared" si="73"/>
        <v>14261.6184199903</v>
      </c>
      <c r="AA22" s="477">
        <f>AA7*24/100</f>
        <v>3583.6887311770497</v>
      </c>
      <c r="AB22" s="478">
        <f t="shared" si="73"/>
        <v>76354.510925486538</v>
      </c>
      <c r="AC22" s="447">
        <f t="shared" si="20"/>
        <v>8398.9962018035185</v>
      </c>
      <c r="AD22" s="448">
        <f t="shared" si="21"/>
        <v>19088.627731371635</v>
      </c>
      <c r="AE22" s="449">
        <f t="shared" si="22"/>
        <v>95443.13865685818</v>
      </c>
      <c r="AF22" s="448">
        <f>AB22*15/100</f>
        <v>11453.176638822981</v>
      </c>
      <c r="AG22" s="448">
        <f>AB22*27.5/100</f>
        <v>20997.490504508794</v>
      </c>
      <c r="AH22" s="448">
        <f>AB22*45/100</f>
        <v>34359.529916468942</v>
      </c>
      <c r="AI22" s="448">
        <f>AB22*68.1/100</f>
        <v>51997.421940256332</v>
      </c>
      <c r="AJ22" s="449">
        <f>AB22*93.1/100+AB22</f>
        <v>147440.5605971145</v>
      </c>
      <c r="AK22" s="450">
        <f>AB22*55/100</f>
        <v>41994.981009017589</v>
      </c>
      <c r="AL22" s="450">
        <f>AB22*91.4/100</f>
        <v>69788.022985894699</v>
      </c>
      <c r="AM22" s="450">
        <f>AB22*103.9/100</f>
        <v>79332.33685158052</v>
      </c>
      <c r="AN22" s="451">
        <f>AB22*15.7/100</f>
        <v>11987.658215301386</v>
      </c>
      <c r="AO22" s="451">
        <f>AB22*25.05/100</f>
        <v>19126.804986834381</v>
      </c>
      <c r="AP22" s="643">
        <f>AB22*257.48/100+AB22</f>
        <v>272952.10565642931</v>
      </c>
      <c r="AQ22" s="380">
        <f>AP22*8.8/100</f>
        <v>24019.785297765782</v>
      </c>
      <c r="AR22" s="381">
        <f>AP22*8.8/100+AP22</f>
        <v>296971.89095419511</v>
      </c>
      <c r="AS22" s="380">
        <f>AP22*4.57/100</f>
        <v>12473.91122849882</v>
      </c>
      <c r="AT22" s="381">
        <f>AP22*13.37/100+AP22</f>
        <v>309445.80218269391</v>
      </c>
      <c r="AU22" s="380">
        <f>AP22*9.96/100</f>
        <v>27186.029723380361</v>
      </c>
      <c r="AV22" s="381">
        <f>AP22*28.51/100+AP22</f>
        <v>350770.7509790773</v>
      </c>
      <c r="AW22" s="380">
        <f>AP22*4/100</f>
        <v>10918.084226257173</v>
      </c>
      <c r="AX22" s="160"/>
      <c r="AY22" s="308"/>
      <c r="AZ22" s="160"/>
      <c r="BA22" s="160"/>
    </row>
    <row r="23" spans="2:53" x14ac:dyDescent="0.25">
      <c r="B23" s="263"/>
      <c r="C23" s="427">
        <v>9</v>
      </c>
      <c r="D23" s="428">
        <f t="shared" ref="D23:S27" si="74">D8*24/100</f>
        <v>7606.8</v>
      </c>
      <c r="E23" s="428">
        <f t="shared" si="74"/>
        <v>10649.28</v>
      </c>
      <c r="F23" s="428">
        <f t="shared" si="74"/>
        <v>11790.54</v>
      </c>
      <c r="G23" s="474">
        <f t="shared" si="74"/>
        <v>12969.593999999999</v>
      </c>
      <c r="H23" s="474">
        <f t="shared" si="74"/>
        <v>14030.7426</v>
      </c>
      <c r="I23" s="474">
        <f t="shared" si="74"/>
        <v>14525.94528</v>
      </c>
      <c r="J23" s="474">
        <f t="shared" si="74"/>
        <v>15587.09388</v>
      </c>
      <c r="K23" s="474">
        <f t="shared" si="74"/>
        <v>17178.816780000001</v>
      </c>
      <c r="L23" s="428">
        <f t="shared" si="74"/>
        <v>22332.461814000002</v>
      </c>
      <c r="M23" s="428">
        <f t="shared" si="74"/>
        <v>24909.284330999999</v>
      </c>
      <c r="N23" s="474">
        <f t="shared" si="74"/>
        <v>28645.676980650001</v>
      </c>
      <c r="O23" s="474">
        <f t="shared" si="74"/>
        <v>31136.60541375</v>
      </c>
      <c r="P23" s="474">
        <f t="shared" si="74"/>
        <v>33627.533846850005</v>
      </c>
      <c r="Q23" s="474">
        <f t="shared" si="74"/>
        <v>39311.832531184198</v>
      </c>
      <c r="R23" s="479">
        <f t="shared" si="74"/>
        <v>43243.015784302617</v>
      </c>
      <c r="S23" s="480">
        <f t="shared" si="74"/>
        <v>47174.199037421051</v>
      </c>
      <c r="T23" s="480">
        <f t="shared" si="73"/>
        <v>51105.382290539463</v>
      </c>
      <c r="U23" s="481">
        <f t="shared" si="73"/>
        <v>5896.7748796776314</v>
      </c>
      <c r="V23" s="481">
        <f t="shared" si="73"/>
        <v>11793.549759355263</v>
      </c>
      <c r="W23" s="480">
        <f t="shared" si="73"/>
        <v>62898.932049894727</v>
      </c>
      <c r="X23" s="481">
        <f t="shared" si="73"/>
        <v>3931.1832531184205</v>
      </c>
      <c r="Y23" s="481">
        <f t="shared" si="73"/>
        <v>7862.3665062368409</v>
      </c>
      <c r="Z23" s="481">
        <f t="shared" si="73"/>
        <v>15331.614687161838</v>
      </c>
      <c r="AA23" s="481">
        <f t="shared" si="73"/>
        <v>3852.5595880560518</v>
      </c>
      <c r="AB23" s="482">
        <f t="shared" si="73"/>
        <v>82083.106325112618</v>
      </c>
      <c r="AC23" s="373">
        <f t="shared" si="20"/>
        <v>9029.1416957623878</v>
      </c>
      <c r="AD23" s="374">
        <f t="shared" si="21"/>
        <v>20520.776581278154</v>
      </c>
      <c r="AE23" s="376">
        <f t="shared" si="22"/>
        <v>102603.88290639078</v>
      </c>
      <c r="AF23" s="374">
        <f t="shared" ref="AF23:AF27" si="75">AB23*15/100</f>
        <v>12312.465948766894</v>
      </c>
      <c r="AG23" s="374">
        <f t="shared" ref="AG23:AG27" si="76">AB23*27.5/100</f>
        <v>22572.85423940597</v>
      </c>
      <c r="AH23" s="448">
        <f t="shared" ref="AH23:AH27" si="77">AB23*45/100</f>
        <v>36937.397846300679</v>
      </c>
      <c r="AI23" s="448">
        <f t="shared" ref="AI23:AI27" si="78">AB23*68.1/100</f>
        <v>55898.595407401684</v>
      </c>
      <c r="AJ23" s="449">
        <f t="shared" ref="AJ23:AJ27" si="79">AB23*93.1/100+AB23</f>
        <v>158502.47831379244</v>
      </c>
      <c r="AK23" s="450">
        <f t="shared" ref="AK23:AK27" si="80">AB23*55/100</f>
        <v>45145.708478811939</v>
      </c>
      <c r="AL23" s="450">
        <f t="shared" ref="AL23:AL27" si="81">AB23*91.4/100</f>
        <v>75023.959181152939</v>
      </c>
      <c r="AM23" s="450">
        <f t="shared" ref="AM23:AM27" si="82">AB23*103.9/100</f>
        <v>85284.347471792003</v>
      </c>
      <c r="AN23" s="451">
        <f t="shared" ref="AN23:AN27" si="83">AB23*15.7/100</f>
        <v>12887.047693042681</v>
      </c>
      <c r="AO23" s="451">
        <f t="shared" ref="AO23:AO27" si="84">AB23*25.05/100</f>
        <v>20561.818134440713</v>
      </c>
      <c r="AP23" s="643">
        <f t="shared" ref="AP23:AP27" si="85">AB23*257.48/100+AB23</f>
        <v>293430.68849101261</v>
      </c>
      <c r="AQ23" s="380">
        <f t="shared" ref="AQ23:AQ27" si="86">AP23*8.8/100</f>
        <v>25821.900587209115</v>
      </c>
      <c r="AR23" s="381">
        <f t="shared" ref="AR23:AR27" si="87">AP23*8.8/100+AP23</f>
        <v>319252.5890782217</v>
      </c>
      <c r="AS23" s="380">
        <f t="shared" ref="AS23:AS27" si="88">AP23*4.57/100</f>
        <v>13409.782464039277</v>
      </c>
      <c r="AT23" s="381">
        <f t="shared" ref="AT23:AT27" si="89">AP23*13.37/100+AP23</f>
        <v>332662.37154226098</v>
      </c>
      <c r="AU23" s="380">
        <f t="shared" ref="AU23:AU27" si="90">AP23*9.96/100</f>
        <v>29225.696573704859</v>
      </c>
      <c r="AV23" s="646">
        <f t="shared" ref="AV23:AV27" si="91">AP23*28.51/100+AP23</f>
        <v>377087.77777980029</v>
      </c>
      <c r="AW23" s="380">
        <f t="shared" ref="AW23:AW27" si="92">AP23*4/100</f>
        <v>11737.227539640504</v>
      </c>
      <c r="AX23" s="160"/>
      <c r="AY23" s="308"/>
      <c r="AZ23" s="160"/>
      <c r="BA23" s="160"/>
    </row>
    <row r="24" spans="2:53" x14ac:dyDescent="0.25">
      <c r="B24" s="263"/>
      <c r="C24" s="427">
        <v>10</v>
      </c>
      <c r="D24" s="428">
        <f t="shared" si="74"/>
        <v>8177.52</v>
      </c>
      <c r="E24" s="428">
        <f t="shared" si="74"/>
        <v>11448.48</v>
      </c>
      <c r="F24" s="428">
        <f t="shared" si="74"/>
        <v>12675.156000000001</v>
      </c>
      <c r="G24" s="474">
        <f t="shared" si="74"/>
        <v>13942.671600000001</v>
      </c>
      <c r="H24" s="474">
        <f t="shared" si="74"/>
        <v>15083.43564</v>
      </c>
      <c r="I24" s="474">
        <f t="shared" si="74"/>
        <v>15615.792192000001</v>
      </c>
      <c r="J24" s="474">
        <f t="shared" si="74"/>
        <v>16756.556232000003</v>
      </c>
      <c r="K24" s="474">
        <f t="shared" si="74"/>
        <v>18467.702291999998</v>
      </c>
      <c r="L24" s="428">
        <f t="shared" si="74"/>
        <v>24008.0129796</v>
      </c>
      <c r="M24" s="428">
        <f t="shared" si="74"/>
        <v>26778.168323400001</v>
      </c>
      <c r="N24" s="474">
        <f t="shared" si="74"/>
        <v>30794.893571910001</v>
      </c>
      <c r="O24" s="474">
        <f t="shared" si="74"/>
        <v>33472.71040425</v>
      </c>
      <c r="P24" s="474">
        <f t="shared" si="74"/>
        <v>36150.527236590002</v>
      </c>
      <c r="Q24" s="474">
        <f t="shared" si="74"/>
        <v>42261.305247989883</v>
      </c>
      <c r="R24" s="479">
        <f t="shared" si="74"/>
        <v>46487.435772788871</v>
      </c>
      <c r="S24" s="480">
        <f t="shared" si="74"/>
        <v>50713.566297587851</v>
      </c>
      <c r="T24" s="480">
        <f t="shared" si="73"/>
        <v>54939.696822386846</v>
      </c>
      <c r="U24" s="481">
        <f t="shared" si="73"/>
        <v>6339.1957871984814</v>
      </c>
      <c r="V24" s="481">
        <f t="shared" si="73"/>
        <v>12678.391574396963</v>
      </c>
      <c r="W24" s="480">
        <f t="shared" si="73"/>
        <v>67618.088396783816</v>
      </c>
      <c r="X24" s="481">
        <f t="shared" si="73"/>
        <v>4226.1305247989876</v>
      </c>
      <c r="Y24" s="481">
        <f t="shared" si="73"/>
        <v>8452.2610495979752</v>
      </c>
      <c r="Z24" s="481">
        <f t="shared" si="73"/>
        <v>16481.909046716053</v>
      </c>
      <c r="AA24" s="481">
        <f t="shared" si="73"/>
        <v>4141.6079143030083</v>
      </c>
      <c r="AB24" s="482">
        <f t="shared" si="73"/>
        <v>88241.60535780288</v>
      </c>
      <c r="AC24" s="373">
        <f t="shared" si="20"/>
        <v>9706.5765893583157</v>
      </c>
      <c r="AD24" s="374">
        <f t="shared" si="21"/>
        <v>22060.40133945072</v>
      </c>
      <c r="AE24" s="376">
        <f t="shared" si="22"/>
        <v>110302.0066972536</v>
      </c>
      <c r="AF24" s="374">
        <f t="shared" si="75"/>
        <v>13236.240803670431</v>
      </c>
      <c r="AG24" s="374">
        <f t="shared" si="76"/>
        <v>24266.441473395793</v>
      </c>
      <c r="AH24" s="448">
        <f t="shared" si="77"/>
        <v>39708.722411011295</v>
      </c>
      <c r="AI24" s="448">
        <f t="shared" si="78"/>
        <v>60092.533248663756</v>
      </c>
      <c r="AJ24" s="449">
        <f t="shared" si="79"/>
        <v>170394.53994591738</v>
      </c>
      <c r="AK24" s="450">
        <f t="shared" si="80"/>
        <v>48532.882946791586</v>
      </c>
      <c r="AL24" s="450">
        <f t="shared" si="81"/>
        <v>80652.827297031836</v>
      </c>
      <c r="AM24" s="450">
        <f t="shared" si="82"/>
        <v>91683.027966757189</v>
      </c>
      <c r="AN24" s="451">
        <f t="shared" si="83"/>
        <v>13853.93204117505</v>
      </c>
      <c r="AO24" s="451">
        <f t="shared" si="84"/>
        <v>22104.522142129623</v>
      </c>
      <c r="AP24" s="643">
        <f t="shared" si="85"/>
        <v>315446.09083307371</v>
      </c>
      <c r="AQ24" s="380">
        <f t="shared" si="86"/>
        <v>27759.255993310489</v>
      </c>
      <c r="AR24" s="381">
        <f t="shared" si="87"/>
        <v>343205.34682638419</v>
      </c>
      <c r="AS24" s="380">
        <f t="shared" si="88"/>
        <v>14415.886351071471</v>
      </c>
      <c r="AT24" s="381">
        <f t="shared" si="89"/>
        <v>357621.23317745567</v>
      </c>
      <c r="AU24" s="380">
        <f t="shared" si="90"/>
        <v>31418.430646974146</v>
      </c>
      <c r="AV24" s="646">
        <f t="shared" si="91"/>
        <v>405379.77132958302</v>
      </c>
      <c r="AW24" s="380">
        <f t="shared" si="92"/>
        <v>12617.843633322949</v>
      </c>
      <c r="AX24" s="160"/>
      <c r="AY24" s="308"/>
      <c r="AZ24" s="160"/>
      <c r="BA24" s="160"/>
    </row>
    <row r="25" spans="2:53" x14ac:dyDescent="0.25">
      <c r="B25" s="263"/>
      <c r="C25" s="427">
        <v>11</v>
      </c>
      <c r="D25" s="428">
        <f t="shared" si="74"/>
        <v>8790.7199999999993</v>
      </c>
      <c r="E25" s="428">
        <f t="shared" si="74"/>
        <v>12307.2</v>
      </c>
      <c r="F25" s="428">
        <f t="shared" si="74"/>
        <v>13625.616000000002</v>
      </c>
      <c r="G25" s="474">
        <f t="shared" si="74"/>
        <v>14988.177600000003</v>
      </c>
      <c r="H25" s="474">
        <f t="shared" si="74"/>
        <v>16214.483039999999</v>
      </c>
      <c r="I25" s="474">
        <f t="shared" si="74"/>
        <v>16786.758912000001</v>
      </c>
      <c r="J25" s="474">
        <f t="shared" si="74"/>
        <v>18013.064352000001</v>
      </c>
      <c r="K25" s="474">
        <f t="shared" si="74"/>
        <v>19852.522512</v>
      </c>
      <c r="L25" s="428">
        <f t="shared" si="74"/>
        <v>25808.279265600006</v>
      </c>
      <c r="M25" s="428">
        <f t="shared" si="74"/>
        <v>28786.157642399998</v>
      </c>
      <c r="N25" s="474">
        <f t="shared" si="74"/>
        <v>33104.081288760004</v>
      </c>
      <c r="O25" s="474">
        <f t="shared" si="74"/>
        <v>35982.697052999996</v>
      </c>
      <c r="P25" s="474">
        <f t="shared" si="74"/>
        <v>38861.312817240003</v>
      </c>
      <c r="Q25" s="474">
        <f t="shared" si="74"/>
        <v>45430.313991235678</v>
      </c>
      <c r="R25" s="479">
        <f t="shared" si="74"/>
        <v>49973.34539035926</v>
      </c>
      <c r="S25" s="480">
        <f t="shared" si="74"/>
        <v>54516.376789482812</v>
      </c>
      <c r="T25" s="480">
        <f t="shared" si="73"/>
        <v>59059.408188606387</v>
      </c>
      <c r="U25" s="481">
        <f t="shared" si="73"/>
        <v>6814.5470986853516</v>
      </c>
      <c r="V25" s="481">
        <f t="shared" si="73"/>
        <v>13629.094197370703</v>
      </c>
      <c r="W25" s="480">
        <f t="shared" si="73"/>
        <v>72688.502385977103</v>
      </c>
      <c r="X25" s="481">
        <f t="shared" si="73"/>
        <v>4543.0313991235689</v>
      </c>
      <c r="Y25" s="481">
        <f t="shared" si="73"/>
        <v>9086.0627982471378</v>
      </c>
      <c r="Z25" s="481">
        <f t="shared" si="73"/>
        <v>17717.822456581915</v>
      </c>
      <c r="AA25" s="481">
        <f t="shared" si="73"/>
        <v>4452.1707711410963</v>
      </c>
      <c r="AB25" s="482">
        <f t="shared" si="73"/>
        <v>94858.49561370007</v>
      </c>
      <c r="AC25" s="373">
        <f t="shared" si="20"/>
        <v>10434.434517507008</v>
      </c>
      <c r="AD25" s="374">
        <f t="shared" si="21"/>
        <v>23714.623903425017</v>
      </c>
      <c r="AE25" s="376">
        <f t="shared" si="22"/>
        <v>118573.11951712509</v>
      </c>
      <c r="AF25" s="374">
        <f t="shared" si="75"/>
        <v>14228.77434205501</v>
      </c>
      <c r="AG25" s="374">
        <f t="shared" si="76"/>
        <v>26086.086293767519</v>
      </c>
      <c r="AH25" s="448">
        <f t="shared" si="77"/>
        <v>42686.323026165031</v>
      </c>
      <c r="AI25" s="448">
        <f t="shared" si="78"/>
        <v>64598.635512929744</v>
      </c>
      <c r="AJ25" s="449">
        <f t="shared" si="79"/>
        <v>183171.75503005483</v>
      </c>
      <c r="AK25" s="450">
        <f t="shared" si="80"/>
        <v>52172.172587535038</v>
      </c>
      <c r="AL25" s="450">
        <f t="shared" si="81"/>
        <v>86700.664990921883</v>
      </c>
      <c r="AM25" s="450">
        <f t="shared" si="82"/>
        <v>98557.976942634385</v>
      </c>
      <c r="AN25" s="451">
        <f t="shared" si="83"/>
        <v>14892.78381135091</v>
      </c>
      <c r="AO25" s="451">
        <f t="shared" si="84"/>
        <v>23762.05315123187</v>
      </c>
      <c r="AP25" s="643">
        <f t="shared" si="85"/>
        <v>339100.15011985501</v>
      </c>
      <c r="AQ25" s="380">
        <f t="shared" si="86"/>
        <v>29840.813210547247</v>
      </c>
      <c r="AR25" s="381">
        <f t="shared" si="87"/>
        <v>368940.96333040227</v>
      </c>
      <c r="AS25" s="380">
        <f t="shared" si="88"/>
        <v>15496.876860477374</v>
      </c>
      <c r="AT25" s="381">
        <f t="shared" si="89"/>
        <v>384437.84019087965</v>
      </c>
      <c r="AU25" s="380">
        <f t="shared" si="90"/>
        <v>33774.374951937563</v>
      </c>
      <c r="AV25" s="646">
        <f t="shared" si="91"/>
        <v>435777.6029190257</v>
      </c>
      <c r="AW25" s="380">
        <f t="shared" si="92"/>
        <v>13564.006004794201</v>
      </c>
      <c r="AX25" s="160"/>
      <c r="AY25" s="308"/>
      <c r="AZ25" s="160"/>
      <c r="BA25" s="160"/>
    </row>
    <row r="26" spans="2:53" x14ac:dyDescent="0.25">
      <c r="B26" s="263"/>
      <c r="C26" s="454">
        <v>12</v>
      </c>
      <c r="D26" s="428">
        <f t="shared" si="74"/>
        <v>9450.24</v>
      </c>
      <c r="E26" s="428">
        <f t="shared" si="74"/>
        <v>13230.24</v>
      </c>
      <c r="F26" s="428">
        <f t="shared" si="74"/>
        <v>14647.872000000001</v>
      </c>
      <c r="G26" s="474">
        <f t="shared" si="74"/>
        <v>16112.6592</v>
      </c>
      <c r="H26" s="474">
        <f t="shared" si="74"/>
        <v>17430.967680000002</v>
      </c>
      <c r="I26" s="474">
        <f t="shared" si="74"/>
        <v>18046.178303999997</v>
      </c>
      <c r="J26" s="474">
        <f t="shared" si="74"/>
        <v>19364.486784000001</v>
      </c>
      <c r="K26" s="474">
        <f t="shared" si="74"/>
        <v>21341.949504</v>
      </c>
      <c r="L26" s="428">
        <f t="shared" si="74"/>
        <v>27744.534355200001</v>
      </c>
      <c r="M26" s="428">
        <f t="shared" si="74"/>
        <v>30945.826780799998</v>
      </c>
      <c r="N26" s="474">
        <f t="shared" si="74"/>
        <v>35587.700797920006</v>
      </c>
      <c r="O26" s="474">
        <f t="shared" si="74"/>
        <v>38682.283476000004</v>
      </c>
      <c r="P26" s="474">
        <f t="shared" si="74"/>
        <v>41776.866154080002</v>
      </c>
      <c r="Q26" s="474">
        <f t="shared" si="74"/>
        <v>48838.703825458564</v>
      </c>
      <c r="R26" s="479">
        <f t="shared" si="74"/>
        <v>53722.574208004429</v>
      </c>
      <c r="S26" s="480">
        <f t="shared" si="74"/>
        <v>58606.444590550287</v>
      </c>
      <c r="T26" s="480">
        <f t="shared" si="73"/>
        <v>63490.314973096138</v>
      </c>
      <c r="U26" s="481">
        <f t="shared" si="73"/>
        <v>7325.8055738187859</v>
      </c>
      <c r="V26" s="481">
        <f t="shared" si="73"/>
        <v>14651.611147637572</v>
      </c>
      <c r="W26" s="480">
        <f t="shared" si="73"/>
        <v>78141.926120733697</v>
      </c>
      <c r="X26" s="481">
        <f t="shared" si="73"/>
        <v>4883.870382545856</v>
      </c>
      <c r="Y26" s="481">
        <f t="shared" si="73"/>
        <v>9767.7407650917121</v>
      </c>
      <c r="Z26" s="481">
        <f t="shared" si="73"/>
        <v>19047.094491928845</v>
      </c>
      <c r="AA26" s="481">
        <f t="shared" si="73"/>
        <v>4786.1929748949397</v>
      </c>
      <c r="AB26" s="482">
        <f t="shared" si="73"/>
        <v>101975.21358755749</v>
      </c>
      <c r="AC26" s="373">
        <f t="shared" si="20"/>
        <v>11217.273494631325</v>
      </c>
      <c r="AD26" s="374">
        <f t="shared" si="21"/>
        <v>25493.803396889372</v>
      </c>
      <c r="AE26" s="376">
        <f t="shared" si="22"/>
        <v>127469.01698444686</v>
      </c>
      <c r="AF26" s="374">
        <f t="shared" si="75"/>
        <v>15296.282038133624</v>
      </c>
      <c r="AG26" s="374">
        <f t="shared" si="76"/>
        <v>28043.18373657831</v>
      </c>
      <c r="AH26" s="448">
        <f t="shared" si="77"/>
        <v>45888.846114400869</v>
      </c>
      <c r="AI26" s="448">
        <f t="shared" si="78"/>
        <v>69445.120453126641</v>
      </c>
      <c r="AJ26" s="449">
        <f t="shared" si="79"/>
        <v>196914.13743757352</v>
      </c>
      <c r="AK26" s="450">
        <f t="shared" si="80"/>
        <v>56086.367473156621</v>
      </c>
      <c r="AL26" s="450">
        <f t="shared" si="81"/>
        <v>93205.345219027542</v>
      </c>
      <c r="AM26" s="450">
        <f t="shared" si="82"/>
        <v>105952.24691747224</v>
      </c>
      <c r="AN26" s="451">
        <f t="shared" si="83"/>
        <v>16010.108533246525</v>
      </c>
      <c r="AO26" s="451">
        <f t="shared" si="84"/>
        <v>25544.791003683153</v>
      </c>
      <c r="AP26" s="643">
        <f t="shared" si="85"/>
        <v>364540.99353280052</v>
      </c>
      <c r="AQ26" s="380">
        <f t="shared" si="86"/>
        <v>32079.607430886448</v>
      </c>
      <c r="AR26" s="381">
        <f t="shared" si="87"/>
        <v>396620.60096368694</v>
      </c>
      <c r="AS26" s="380">
        <f t="shared" si="88"/>
        <v>16659.523404448984</v>
      </c>
      <c r="AT26" s="381">
        <f t="shared" si="89"/>
        <v>413280.12436813593</v>
      </c>
      <c r="AU26" s="380">
        <f t="shared" si="90"/>
        <v>36308.282955866933</v>
      </c>
      <c r="AV26" s="646">
        <f t="shared" si="91"/>
        <v>468471.63078900194</v>
      </c>
      <c r="AW26" s="380">
        <f t="shared" si="92"/>
        <v>14581.639741312021</v>
      </c>
      <c r="AX26" s="160"/>
      <c r="AY26" s="308"/>
      <c r="AZ26" s="160"/>
      <c r="BA26" s="160"/>
    </row>
    <row r="27" spans="2:53" ht="15.75" thickBot="1" x14ac:dyDescent="0.3">
      <c r="B27" s="263"/>
      <c r="C27" s="454">
        <v>13</v>
      </c>
      <c r="D27" s="455">
        <f t="shared" si="74"/>
        <v>10158.959999999999</v>
      </c>
      <c r="E27" s="455">
        <f t="shared" si="74"/>
        <v>14229.84</v>
      </c>
      <c r="F27" s="455">
        <f t="shared" si="74"/>
        <v>15746.387999999999</v>
      </c>
      <c r="G27" s="483">
        <f t="shared" si="74"/>
        <v>17321.026799999996</v>
      </c>
      <c r="H27" s="483">
        <f t="shared" si="74"/>
        <v>18738.201719999997</v>
      </c>
      <c r="I27" s="483">
        <f t="shared" si="74"/>
        <v>19399.550016000001</v>
      </c>
      <c r="J27" s="483">
        <f t="shared" si="74"/>
        <v>20816.724936000002</v>
      </c>
      <c r="K27" s="483">
        <f t="shared" si="74"/>
        <v>22942.487315999995</v>
      </c>
      <c r="L27" s="455">
        <f t="shared" si="74"/>
        <v>29825.233510799993</v>
      </c>
      <c r="M27" s="455">
        <f t="shared" si="74"/>
        <v>33266.606608199996</v>
      </c>
      <c r="N27" s="483">
        <f t="shared" si="74"/>
        <v>38256.597599429988</v>
      </c>
      <c r="O27" s="483">
        <f t="shared" si="74"/>
        <v>41583.258260249997</v>
      </c>
      <c r="P27" s="483">
        <f t="shared" si="74"/>
        <v>44909.918921069999</v>
      </c>
      <c r="Q27" s="483">
        <f t="shared" si="74"/>
        <v>52501.358549061231</v>
      </c>
      <c r="R27" s="484">
        <f t="shared" si="74"/>
        <v>57751.494403967357</v>
      </c>
      <c r="S27" s="485">
        <f t="shared" si="74"/>
        <v>63001.630258873476</v>
      </c>
      <c r="T27" s="485">
        <f t="shared" si="73"/>
        <v>68251.766113779595</v>
      </c>
      <c r="U27" s="486">
        <f t="shared" si="73"/>
        <v>7875.2037823591845</v>
      </c>
      <c r="V27" s="486">
        <f t="shared" si="73"/>
        <v>15750.407564718369</v>
      </c>
      <c r="W27" s="485">
        <f t="shared" si="73"/>
        <v>84002.173678497973</v>
      </c>
      <c r="X27" s="486">
        <f t="shared" si="73"/>
        <v>5250.1358549061233</v>
      </c>
      <c r="Y27" s="486">
        <f t="shared" si="73"/>
        <v>10500.271709812247</v>
      </c>
      <c r="Z27" s="486">
        <f t="shared" si="73"/>
        <v>20475.529834133878</v>
      </c>
      <c r="AA27" s="486">
        <f>AA12*24/100</f>
        <v>5145.1331378080004</v>
      </c>
      <c r="AB27" s="487">
        <f t="shared" si="73"/>
        <v>109622.83665043983</v>
      </c>
      <c r="AC27" s="422">
        <f t="shared" si="20"/>
        <v>12058.512031548382</v>
      </c>
      <c r="AD27" s="423">
        <f t="shared" si="21"/>
        <v>27405.709162609957</v>
      </c>
      <c r="AE27" s="488">
        <f t="shared" si="22"/>
        <v>137028.54581304977</v>
      </c>
      <c r="AF27" s="423">
        <f t="shared" si="75"/>
        <v>16443.425497565975</v>
      </c>
      <c r="AG27" s="423">
        <f t="shared" si="76"/>
        <v>30146.280078870954</v>
      </c>
      <c r="AH27" s="448">
        <f t="shared" si="77"/>
        <v>49330.276492697922</v>
      </c>
      <c r="AI27" s="448">
        <f t="shared" si="78"/>
        <v>74653.15175894952</v>
      </c>
      <c r="AJ27" s="449">
        <f t="shared" si="79"/>
        <v>211681.69757199931</v>
      </c>
      <c r="AK27" s="450">
        <f t="shared" si="80"/>
        <v>60292.560157741907</v>
      </c>
      <c r="AL27" s="450">
        <f t="shared" si="81"/>
        <v>100195.27269850201</v>
      </c>
      <c r="AM27" s="450">
        <f t="shared" si="82"/>
        <v>113898.127279807</v>
      </c>
      <c r="AN27" s="451">
        <f t="shared" si="83"/>
        <v>17210.785354119052</v>
      </c>
      <c r="AO27" s="451">
        <f t="shared" si="84"/>
        <v>27460.520580935179</v>
      </c>
      <c r="AP27" s="643">
        <f t="shared" si="85"/>
        <v>391879.71645799233</v>
      </c>
      <c r="AQ27" s="380">
        <f t="shared" si="86"/>
        <v>34485.41504830333</v>
      </c>
      <c r="AR27" s="381">
        <f t="shared" si="87"/>
        <v>426365.13150629564</v>
      </c>
      <c r="AS27" s="380">
        <f t="shared" si="88"/>
        <v>17908.903042130252</v>
      </c>
      <c r="AT27" s="381">
        <f t="shared" si="89"/>
        <v>444274.03454842593</v>
      </c>
      <c r="AU27" s="380">
        <f t="shared" si="90"/>
        <v>39031.219759216037</v>
      </c>
      <c r="AV27" s="646">
        <f t="shared" si="91"/>
        <v>503604.62362016592</v>
      </c>
      <c r="AW27" s="380">
        <f t="shared" si="92"/>
        <v>15675.188658319694</v>
      </c>
      <c r="AX27" s="160"/>
      <c r="AY27" s="308"/>
      <c r="AZ27" s="160"/>
      <c r="BA27" s="160"/>
    </row>
    <row r="28" spans="2:53" s="237" customFormat="1" ht="15.75" thickBot="1" x14ac:dyDescent="0.3">
      <c r="B28" s="425"/>
      <c r="C28" s="894"/>
      <c r="D28" s="895"/>
      <c r="E28" s="895"/>
      <c r="F28" s="895"/>
      <c r="G28" s="895"/>
      <c r="H28" s="895"/>
      <c r="I28" s="895"/>
      <c r="J28" s="895"/>
      <c r="K28" s="895"/>
      <c r="L28" s="895"/>
      <c r="M28" s="895"/>
      <c r="N28" s="895"/>
      <c r="O28" s="895"/>
      <c r="P28" s="895"/>
      <c r="Q28" s="895"/>
      <c r="R28" s="895"/>
      <c r="S28" s="895"/>
      <c r="T28" s="895"/>
      <c r="U28" s="895"/>
      <c r="V28" s="895"/>
      <c r="W28" s="895"/>
      <c r="X28" s="895"/>
      <c r="Y28" s="895"/>
      <c r="Z28" s="895"/>
      <c r="AA28" s="895"/>
      <c r="AB28" s="895"/>
      <c r="AC28" s="895"/>
      <c r="AD28" s="895"/>
      <c r="AE28" s="895"/>
      <c r="AF28" s="895"/>
      <c r="AG28" s="895"/>
      <c r="AH28" s="895"/>
      <c r="AI28" s="895"/>
      <c r="AJ28" s="895"/>
      <c r="AK28" s="895"/>
      <c r="AL28" s="895"/>
      <c r="AM28" s="895"/>
      <c r="AN28" s="895"/>
      <c r="AO28" s="895"/>
      <c r="AP28" s="895"/>
      <c r="AQ28" s="895"/>
      <c r="AR28" s="895"/>
      <c r="AS28" s="895"/>
      <c r="AT28" s="895"/>
      <c r="AU28" s="895"/>
      <c r="AV28" s="895"/>
      <c r="AW28" s="896"/>
      <c r="AX28" s="662"/>
      <c r="AZ28" s="662"/>
      <c r="BA28" s="662"/>
    </row>
    <row r="29" spans="2:53" ht="15.6" customHeight="1" thickBot="1" x14ac:dyDescent="0.3">
      <c r="B29" s="263"/>
      <c r="C29" s="290" t="s">
        <v>0</v>
      </c>
      <c r="D29" s="997" t="s">
        <v>145</v>
      </c>
      <c r="E29" s="998"/>
      <c r="F29" s="999"/>
      <c r="G29" s="1000" t="s">
        <v>145</v>
      </c>
      <c r="H29" s="1001"/>
      <c r="I29" s="1001"/>
      <c r="J29" s="1001"/>
      <c r="K29" s="1002"/>
      <c r="L29" s="912" t="s">
        <v>145</v>
      </c>
      <c r="M29" s="996"/>
      <c r="N29" s="914" t="s">
        <v>145</v>
      </c>
      <c r="O29" s="915"/>
      <c r="P29" s="915"/>
      <c r="Q29" s="915"/>
      <c r="R29" s="912" t="s">
        <v>145</v>
      </c>
      <c r="S29" s="913"/>
      <c r="T29" s="913"/>
      <c r="U29" s="913"/>
      <c r="V29" s="913"/>
      <c r="W29" s="913"/>
      <c r="X29" s="913"/>
      <c r="Y29" s="913"/>
      <c r="Z29" s="913"/>
      <c r="AA29" s="913"/>
      <c r="AB29" s="913"/>
      <c r="AC29" s="970" t="s">
        <v>145</v>
      </c>
      <c r="AD29" s="971"/>
      <c r="AE29" s="971"/>
      <c r="AF29" s="971"/>
      <c r="AG29" s="971"/>
      <c r="AH29" s="971"/>
      <c r="AI29" s="971"/>
      <c r="AJ29" s="971"/>
      <c r="AK29" s="971"/>
      <c r="AL29" s="971"/>
      <c r="AM29" s="971"/>
      <c r="AN29" s="971"/>
      <c r="AO29" s="971"/>
      <c r="AP29" s="873" t="s">
        <v>145</v>
      </c>
      <c r="AQ29" s="873"/>
      <c r="AR29" s="873"/>
      <c r="AS29" s="873"/>
      <c r="AT29" s="873"/>
      <c r="AU29" s="873"/>
      <c r="AV29" s="873"/>
      <c r="AW29" s="873"/>
      <c r="AX29" s="160"/>
      <c r="AY29" s="308"/>
      <c r="AZ29" s="160"/>
      <c r="BA29" s="160"/>
    </row>
    <row r="30" spans="2:53" ht="30.75" thickBot="1" x14ac:dyDescent="0.3">
      <c r="B30" s="263"/>
      <c r="C30" s="34" t="s">
        <v>142</v>
      </c>
      <c r="D30" s="489">
        <v>3892</v>
      </c>
      <c r="E30" s="490">
        <v>5449</v>
      </c>
      <c r="F30" s="491">
        <f>D30*55/100+D30</f>
        <v>6032.6</v>
      </c>
      <c r="G30" s="492">
        <f>F30*10/100+F30</f>
        <v>6635.8600000000006</v>
      </c>
      <c r="H30" s="492">
        <f>F30*19/100+F30</f>
        <v>7178.7940000000008</v>
      </c>
      <c r="I30" s="492">
        <f>F30*23.2/100+F30</f>
        <v>7432.1632000000009</v>
      </c>
      <c r="J30" s="493">
        <f>F30*32.2/100+F30</f>
        <v>7975.0972000000002</v>
      </c>
      <c r="K30" s="494">
        <f>F30*45.7/100+F30</f>
        <v>8789.4982</v>
      </c>
      <c r="L30" s="390">
        <f>K30*30/100+K30</f>
        <v>11426.347659999999</v>
      </c>
      <c r="M30" s="495">
        <f>K30*45/100+K30</f>
        <v>12744.77239</v>
      </c>
      <c r="N30" s="496">
        <f t="shared" si="10"/>
        <v>14656.4882485</v>
      </c>
      <c r="O30" s="497">
        <f t="shared" si="11"/>
        <v>15930.9654875</v>
      </c>
      <c r="P30" s="497">
        <f>M30*35/100+M30</f>
        <v>17205.442726500001</v>
      </c>
      <c r="Q30" s="366">
        <f t="shared" si="41"/>
        <v>20113.799785898002</v>
      </c>
      <c r="R30" s="441">
        <f>(Q30*10)/100+Q30</f>
        <v>22125.179764487802</v>
      </c>
      <c r="S30" s="442">
        <f t="shared" si="13"/>
        <v>24136.559743077603</v>
      </c>
      <c r="T30" s="442">
        <f t="shared" si="42"/>
        <v>26147.939721667401</v>
      </c>
      <c r="U30" s="498">
        <f>Q30*15/100</f>
        <v>3017.0699678847</v>
      </c>
      <c r="V30" s="498">
        <f>Q30*30/100</f>
        <v>6034.1399357693999</v>
      </c>
      <c r="W30" s="444">
        <f>Q30*60/100+Q30</f>
        <v>32182.0796574368</v>
      </c>
      <c r="X30" s="443">
        <f>Q30*10/100</f>
        <v>2011.3799785898002</v>
      </c>
      <c r="Y30" s="443">
        <f>Q30*20/100</f>
        <v>4022.7599571796004</v>
      </c>
      <c r="Z30" s="445">
        <f>Q30*39/100</f>
        <v>7844.3819165002205</v>
      </c>
      <c r="AA30" s="445">
        <f>Q30*9.8/100</f>
        <v>1971.1523790180042</v>
      </c>
      <c r="AB30" s="446">
        <f>Q30*108.8/100+Q30</f>
        <v>41997.613952955027</v>
      </c>
      <c r="AC30" s="447">
        <f t="shared" si="20"/>
        <v>4619.7375348250534</v>
      </c>
      <c r="AD30" s="448">
        <f t="shared" si="21"/>
        <v>10499.403488238757</v>
      </c>
      <c r="AE30" s="449">
        <f t="shared" si="22"/>
        <v>52497.017441193784</v>
      </c>
      <c r="AF30" s="448">
        <f>AB30*15/100</f>
        <v>6299.6420929432543</v>
      </c>
      <c r="AG30" s="448">
        <f>AB30*27.5/100</f>
        <v>11549.343837062632</v>
      </c>
      <c r="AH30" s="448">
        <f>AB30*45/100</f>
        <v>18898.926278829764</v>
      </c>
      <c r="AI30" s="448">
        <f>AB30*68.1/100</f>
        <v>28600.375101962371</v>
      </c>
      <c r="AJ30" s="449">
        <f>AB30*93.1/100+AB30</f>
        <v>81097.392543156166</v>
      </c>
      <c r="AK30" s="450">
        <f>AB30*55/100</f>
        <v>23098.687674125264</v>
      </c>
      <c r="AL30" s="450">
        <f>AB30*91.4/100</f>
        <v>38385.819153000899</v>
      </c>
      <c r="AM30" s="450">
        <f>AB30*103.9/100</f>
        <v>43635.520897120274</v>
      </c>
      <c r="AN30" s="451">
        <f>AB30*15.7/100</f>
        <v>6593.6253906139391</v>
      </c>
      <c r="AO30" s="451">
        <f>AB30*25.05/100</f>
        <v>10520.402295215235</v>
      </c>
      <c r="AP30" s="643">
        <f>AB30*257.48/100+AB30</f>
        <v>150133.07035902364</v>
      </c>
      <c r="AQ30" s="380">
        <f>AP30*8.8/100</f>
        <v>13211.71019159408</v>
      </c>
      <c r="AR30" s="381">
        <f>AP30*8.8/100+AP30</f>
        <v>163344.78055061772</v>
      </c>
      <c r="AS30" s="380">
        <f>AP30*4.57/100</f>
        <v>6861.0813154073803</v>
      </c>
      <c r="AT30" s="381">
        <f>AP30*13.37/100+AP30</f>
        <v>170205.86186602508</v>
      </c>
      <c r="AU30" s="380">
        <f>AT30*9.96/100</f>
        <v>16952.503841856098</v>
      </c>
      <c r="AV30" s="381">
        <f>AP30*28.51/100+AP30</f>
        <v>192936.00871838129</v>
      </c>
      <c r="AW30" s="380">
        <f>AP30*4/100</f>
        <v>6005.3228143609458</v>
      </c>
      <c r="AX30" s="160"/>
      <c r="AY30" s="308"/>
      <c r="AZ30" s="160"/>
      <c r="BA30" s="160"/>
    </row>
    <row r="31" spans="2:53" ht="15.75" thickBot="1" x14ac:dyDescent="0.3">
      <c r="B31" s="263"/>
      <c r="C31" s="35" t="s">
        <v>143</v>
      </c>
      <c r="D31" s="499">
        <v>5191</v>
      </c>
      <c r="E31" s="500">
        <v>7267</v>
      </c>
      <c r="F31" s="491">
        <f>D31*55/100+D31</f>
        <v>8046.05</v>
      </c>
      <c r="G31" s="492">
        <f>F31*10/100+F31</f>
        <v>8850.6550000000007</v>
      </c>
      <c r="H31" s="492">
        <f>F31*19/100+F31</f>
        <v>9574.799500000001</v>
      </c>
      <c r="I31" s="501">
        <f>F31*23.2/100+F31</f>
        <v>9912.7335999999996</v>
      </c>
      <c r="J31" s="502">
        <f>F31*32.2/100+F31</f>
        <v>10636.8781</v>
      </c>
      <c r="K31" s="503">
        <f>F31*45.7/100+F31</f>
        <v>11723.094850000001</v>
      </c>
      <c r="L31" s="390">
        <f>K31*30/100+K31</f>
        <v>15240.023305000002</v>
      </c>
      <c r="M31" s="504">
        <f t="shared" ref="M31:M32" si="93">K31*45/100+K31</f>
        <v>16998.487532500003</v>
      </c>
      <c r="N31" s="505">
        <f t="shared" si="10"/>
        <v>19548.260662375003</v>
      </c>
      <c r="O31" s="506">
        <f t="shared" si="11"/>
        <v>21248.109415625004</v>
      </c>
      <c r="P31" s="506">
        <f>M31*35/100+M31</f>
        <v>22947.958168875004</v>
      </c>
      <c r="Q31" s="394">
        <f t="shared" si="41"/>
        <v>26827.013023791507</v>
      </c>
      <c r="R31" s="367">
        <f t="shared" si="43"/>
        <v>29509.714326170659</v>
      </c>
      <c r="S31" s="368">
        <f t="shared" si="13"/>
        <v>32192.41562854981</v>
      </c>
      <c r="T31" s="368">
        <f t="shared" si="42"/>
        <v>34875.116930928962</v>
      </c>
      <c r="U31" s="498">
        <f t="shared" ref="U31:U32" si="94">Q31*15/100</f>
        <v>4024.0519535687263</v>
      </c>
      <c r="V31" s="498">
        <f t="shared" ref="V31:V32" si="95">Q31*30/100</f>
        <v>8048.1039071374526</v>
      </c>
      <c r="W31" s="444">
        <f t="shared" ref="W31:W32" si="96">Q31*60/100+Q31</f>
        <v>42923.220838066409</v>
      </c>
      <c r="X31" s="443">
        <f t="shared" ref="X31:X32" si="97">Q31*10/100</f>
        <v>2682.701302379151</v>
      </c>
      <c r="Y31" s="443">
        <f t="shared" ref="Y31:Y32" si="98">Q31*20/100</f>
        <v>5365.402604758302</v>
      </c>
      <c r="Z31" s="445">
        <f t="shared" ref="Z31:Z32" si="99">Q31*39/100</f>
        <v>10462.535079278687</v>
      </c>
      <c r="AA31" s="445">
        <f>Q31*9.8/100</f>
        <v>2629.0472763315684</v>
      </c>
      <c r="AB31" s="446">
        <f>Q31*108.8/100+Q31</f>
        <v>56014.803193676664</v>
      </c>
      <c r="AC31" s="373">
        <f t="shared" si="20"/>
        <v>6161.6283513044336</v>
      </c>
      <c r="AD31" s="374">
        <f t="shared" si="21"/>
        <v>14003.700798419166</v>
      </c>
      <c r="AE31" s="376">
        <f t="shared" si="22"/>
        <v>70018.503992095822</v>
      </c>
      <c r="AF31" s="374">
        <f t="shared" ref="AF31:AF32" si="100">AB31*15/100</f>
        <v>8402.2204790515007</v>
      </c>
      <c r="AG31" s="374">
        <f t="shared" ref="AG31:AG32" si="101">AB31*27.5/100</f>
        <v>15404.070878261084</v>
      </c>
      <c r="AH31" s="448">
        <f t="shared" ref="AH31:AH32" si="102">AB31*45/100</f>
        <v>25206.6614371545</v>
      </c>
      <c r="AI31" s="448">
        <f t="shared" ref="AI31:AI32" si="103">AB31*68.1/100</f>
        <v>38146.080974893805</v>
      </c>
      <c r="AJ31" s="449">
        <f t="shared" ref="AJ31:AJ32" si="104">AB31*93.1/100+AB31</f>
        <v>108164.58496698964</v>
      </c>
      <c r="AK31" s="450">
        <f t="shared" ref="AK31:AK32" si="105">AB31*55/100</f>
        <v>30808.141756522167</v>
      </c>
      <c r="AL31" s="450">
        <f t="shared" ref="AL31:AL32" si="106">AB31*91.4/100</f>
        <v>51197.53011902047</v>
      </c>
      <c r="AM31" s="450">
        <f t="shared" ref="AM31:AM32" si="107">AB31*103.9/100</f>
        <v>58199.380518230057</v>
      </c>
      <c r="AN31" s="451">
        <f t="shared" ref="AN31:AN32" si="108">AB31*15.7/100</f>
        <v>8794.3241014072355</v>
      </c>
      <c r="AO31" s="451">
        <f t="shared" ref="AO31:AO32" si="109">AB31*25.05/100</f>
        <v>14031.708200016006</v>
      </c>
      <c r="AP31" s="643">
        <f t="shared" ref="AP31:AP32" si="110">AB31*257.48/100+AB31</f>
        <v>200241.71845675533</v>
      </c>
      <c r="AQ31" s="380">
        <f t="shared" ref="AQ31:AQ32" si="111">AP31*8.8/100</f>
        <v>17621.271224194472</v>
      </c>
      <c r="AR31" s="381">
        <f t="shared" ref="AR31:AR32" si="112">AP31*8.8/100+AP31</f>
        <v>217862.9896809498</v>
      </c>
      <c r="AS31" s="380">
        <f t="shared" ref="AS31:AS32" si="113">AP31*4.57/100</f>
        <v>9151.04653347372</v>
      </c>
      <c r="AT31" s="381">
        <f t="shared" ref="AT31:AT32" si="114">AP31*13.37/100+AP31</f>
        <v>227014.03621442351</v>
      </c>
      <c r="AU31" s="380">
        <f t="shared" ref="AU31:AU32" si="115">AT31*9.96/100</f>
        <v>22610.598006956581</v>
      </c>
      <c r="AV31" s="646">
        <f t="shared" ref="AV31:AV32" si="116">AP31*28.51/100+AP31</f>
        <v>257330.63238877628</v>
      </c>
      <c r="AW31" s="380">
        <f t="shared" ref="AW31:AW32" si="117">AP31*4/100</f>
        <v>8009.668738270213</v>
      </c>
      <c r="AX31" s="160"/>
      <c r="AY31" s="308"/>
      <c r="AZ31" s="160"/>
      <c r="BA31" s="160"/>
    </row>
    <row r="32" spans="2:53" ht="30.75" thickBot="1" x14ac:dyDescent="0.3">
      <c r="B32" s="263"/>
      <c r="C32" s="36" t="s">
        <v>165</v>
      </c>
      <c r="D32" s="507">
        <v>9082</v>
      </c>
      <c r="E32" s="508">
        <v>12715</v>
      </c>
      <c r="F32" s="509">
        <f>D32*55/100+D32</f>
        <v>14077.1</v>
      </c>
      <c r="G32" s="510">
        <f>F32*10/100+F32</f>
        <v>15484.810000000001</v>
      </c>
      <c r="H32" s="510">
        <f>F32*19/100+F32</f>
        <v>16751.749</v>
      </c>
      <c r="I32" s="511">
        <f>F32*23.2/100+F32</f>
        <v>17342.9872</v>
      </c>
      <c r="J32" s="512">
        <f>F32*32.2/100+F32</f>
        <v>18609.926200000002</v>
      </c>
      <c r="K32" s="513">
        <f>F32*45.7/100+F32</f>
        <v>20510.334699999999</v>
      </c>
      <c r="L32" s="404">
        <f>K32*30/100+K32</f>
        <v>26663.435109999999</v>
      </c>
      <c r="M32" s="514">
        <f t="shared" si="93"/>
        <v>29739.985314999998</v>
      </c>
      <c r="N32" s="515">
        <f t="shared" si="10"/>
        <v>34200.983112249996</v>
      </c>
      <c r="O32" s="516">
        <f t="shared" si="11"/>
        <v>37174.981643749998</v>
      </c>
      <c r="P32" s="516">
        <f>M32*35/100+M32</f>
        <v>40148.980175249999</v>
      </c>
      <c r="Q32" s="408">
        <f t="shared" si="41"/>
        <v>46935.644824132993</v>
      </c>
      <c r="R32" s="465">
        <f t="shared" si="43"/>
        <v>51629.20930654629</v>
      </c>
      <c r="S32" s="466">
        <f t="shared" si="13"/>
        <v>56322.773788959588</v>
      </c>
      <c r="T32" s="466">
        <f t="shared" si="42"/>
        <v>61016.338271372893</v>
      </c>
      <c r="U32" s="517">
        <f t="shared" si="94"/>
        <v>7040.3467236199485</v>
      </c>
      <c r="V32" s="517">
        <f t="shared" si="95"/>
        <v>14080.693447239897</v>
      </c>
      <c r="W32" s="518">
        <f t="shared" si="96"/>
        <v>75097.031718612794</v>
      </c>
      <c r="X32" s="469">
        <f t="shared" si="97"/>
        <v>4693.5644824132996</v>
      </c>
      <c r="Y32" s="469">
        <f t="shared" si="98"/>
        <v>9387.1289648265993</v>
      </c>
      <c r="Z32" s="470">
        <f t="shared" si="99"/>
        <v>18304.901481411867</v>
      </c>
      <c r="AA32" s="445">
        <f>Q32*9.8/100</f>
        <v>4599.693192765033</v>
      </c>
      <c r="AB32" s="446">
        <f>Q32*108.8/100+Q32</f>
        <v>98001.62639278968</v>
      </c>
      <c r="AC32" s="471">
        <f t="shared" si="20"/>
        <v>10780.178903206865</v>
      </c>
      <c r="AD32" s="472">
        <f t="shared" si="21"/>
        <v>24500.406598197424</v>
      </c>
      <c r="AE32" s="473">
        <f t="shared" si="22"/>
        <v>122502.03299098711</v>
      </c>
      <c r="AF32" s="472">
        <f t="shared" si="100"/>
        <v>14700.243958918452</v>
      </c>
      <c r="AG32" s="472">
        <f t="shared" si="101"/>
        <v>26950.44725801716</v>
      </c>
      <c r="AH32" s="448">
        <f t="shared" si="102"/>
        <v>44100.731876755359</v>
      </c>
      <c r="AI32" s="448">
        <f t="shared" si="103"/>
        <v>66739.107573489775</v>
      </c>
      <c r="AJ32" s="449">
        <f t="shared" si="104"/>
        <v>189241.14056447684</v>
      </c>
      <c r="AK32" s="450">
        <f t="shared" si="105"/>
        <v>53900.894516034321</v>
      </c>
      <c r="AL32" s="450">
        <f t="shared" si="106"/>
        <v>89573.486523009778</v>
      </c>
      <c r="AM32" s="450">
        <f t="shared" si="107"/>
        <v>101823.68982210848</v>
      </c>
      <c r="AN32" s="451">
        <f t="shared" si="108"/>
        <v>15386.255343667979</v>
      </c>
      <c r="AO32" s="451">
        <f t="shared" si="109"/>
        <v>24549.407411393815</v>
      </c>
      <c r="AP32" s="643">
        <f t="shared" si="110"/>
        <v>350336.21402894461</v>
      </c>
      <c r="AQ32" s="380">
        <f t="shared" si="111"/>
        <v>30829.586834547128</v>
      </c>
      <c r="AR32" s="381">
        <f t="shared" si="112"/>
        <v>381165.80086349172</v>
      </c>
      <c r="AS32" s="380">
        <f t="shared" si="113"/>
        <v>16010.36498112277</v>
      </c>
      <c r="AT32" s="381">
        <f t="shared" si="114"/>
        <v>397176.1658446145</v>
      </c>
      <c r="AU32" s="380">
        <f t="shared" si="115"/>
        <v>39558.746118123607</v>
      </c>
      <c r="AV32" s="646">
        <f t="shared" si="116"/>
        <v>450217.0686485967</v>
      </c>
      <c r="AW32" s="380">
        <f t="shared" si="117"/>
        <v>14013.448561157784</v>
      </c>
      <c r="AX32" s="160"/>
      <c r="AY32" s="308"/>
      <c r="AZ32" s="160"/>
      <c r="BA32" s="160"/>
    </row>
    <row r="33" spans="1:53" ht="15.75" thickBot="1" x14ac:dyDescent="0.3">
      <c r="B33" s="263"/>
      <c r="C33" s="122" t="s">
        <v>0</v>
      </c>
      <c r="D33" s="1006" t="s">
        <v>208</v>
      </c>
      <c r="E33" s="1007"/>
      <c r="F33" s="1008"/>
      <c r="G33" s="1003" t="s">
        <v>207</v>
      </c>
      <c r="H33" s="1004"/>
      <c r="I33" s="1004"/>
      <c r="J33" s="1004"/>
      <c r="K33" s="1005"/>
      <c r="L33" s="912" t="s">
        <v>207</v>
      </c>
      <c r="M33" s="996"/>
      <c r="N33" s="914" t="s">
        <v>207</v>
      </c>
      <c r="O33" s="915"/>
      <c r="P33" s="915"/>
      <c r="Q33" s="915"/>
      <c r="R33" s="912" t="s">
        <v>207</v>
      </c>
      <c r="S33" s="913"/>
      <c r="T33" s="913"/>
      <c r="U33" s="913"/>
      <c r="V33" s="913"/>
      <c r="W33" s="913"/>
      <c r="X33" s="913"/>
      <c r="Y33" s="913"/>
      <c r="Z33" s="913"/>
      <c r="AA33" s="913"/>
      <c r="AB33" s="913"/>
      <c r="AC33" s="970" t="s">
        <v>207</v>
      </c>
      <c r="AD33" s="971"/>
      <c r="AE33" s="971"/>
      <c r="AF33" s="971"/>
      <c r="AG33" s="971"/>
      <c r="AH33" s="971"/>
      <c r="AI33" s="971"/>
      <c r="AJ33" s="971"/>
      <c r="AK33" s="971"/>
      <c r="AL33" s="971"/>
      <c r="AM33" s="971"/>
      <c r="AN33" s="971"/>
      <c r="AO33" s="971"/>
      <c r="AP33" s="873" t="s">
        <v>207</v>
      </c>
      <c r="AQ33" s="873"/>
      <c r="AR33" s="873"/>
      <c r="AS33" s="873"/>
      <c r="AT33" s="873"/>
      <c r="AU33" s="873"/>
      <c r="AV33" s="873"/>
      <c r="AW33" s="873"/>
      <c r="AX33" s="160"/>
      <c r="AY33" s="308"/>
      <c r="AZ33" s="160"/>
      <c r="BA33" s="160"/>
    </row>
    <row r="34" spans="1:53" ht="15.75" thickBot="1" x14ac:dyDescent="0.3">
      <c r="B34" s="263"/>
      <c r="C34" s="34" t="s">
        <v>144</v>
      </c>
      <c r="D34" s="489">
        <v>6485</v>
      </c>
      <c r="E34" s="519">
        <v>9080</v>
      </c>
      <c r="F34" s="520">
        <f>D34*55/100+D34</f>
        <v>10051.75</v>
      </c>
      <c r="G34" s="521">
        <f>F34*10/100+F34</f>
        <v>11056.924999999999</v>
      </c>
      <c r="H34" s="522">
        <f>F34*19/100+F34</f>
        <v>11961.5825</v>
      </c>
      <c r="I34" s="522">
        <f>F34*23.2/100+F34</f>
        <v>12383.755999999999</v>
      </c>
      <c r="J34" s="522">
        <f>E34*32.2/100+E34</f>
        <v>12003.76</v>
      </c>
      <c r="K34" s="523">
        <f>F34*45.7/100+F34</f>
        <v>14645.39975</v>
      </c>
      <c r="L34" s="524">
        <f>K34*30/100+K34</f>
        <v>19039.019675</v>
      </c>
      <c r="M34" s="495">
        <f>K34*45/100+K34</f>
        <v>21235.829637499999</v>
      </c>
      <c r="N34" s="496">
        <f t="shared" si="10"/>
        <v>24421.204083124998</v>
      </c>
      <c r="O34" s="497">
        <f t="shared" si="11"/>
        <v>26544.787046875001</v>
      </c>
      <c r="P34" s="497">
        <f>M34*35/100+M34</f>
        <v>28668.370010625</v>
      </c>
      <c r="Q34" s="366">
        <f t="shared" si="41"/>
        <v>33514.386333902497</v>
      </c>
      <c r="R34" s="441">
        <f t="shared" si="43"/>
        <v>36865.824967292749</v>
      </c>
      <c r="S34" s="442">
        <f t="shared" si="13"/>
        <v>40217.263600683</v>
      </c>
      <c r="T34" s="442">
        <f t="shared" si="42"/>
        <v>43568.702234073251</v>
      </c>
      <c r="U34" s="525">
        <f>Q34*15/100</f>
        <v>5027.157950085375</v>
      </c>
      <c r="V34" s="525">
        <f>Q34*30/100</f>
        <v>10054.31590017075</v>
      </c>
      <c r="W34" s="446">
        <f>Q34*60/100+Q34</f>
        <v>53623.018134243997</v>
      </c>
      <c r="X34" s="526">
        <f>Q34*10/100</f>
        <v>3351.4386333902494</v>
      </c>
      <c r="Y34" s="526">
        <f>Q34*20/100</f>
        <v>6702.8772667804988</v>
      </c>
      <c r="Z34" s="445">
        <f>Q34*39/100</f>
        <v>13070.610670221975</v>
      </c>
      <c r="AA34" s="445">
        <f>Q34*9.8/100</f>
        <v>3284.4098607224446</v>
      </c>
      <c r="AB34" s="446">
        <f>Q34*108.8/100+Q34</f>
        <v>69978.038665188418</v>
      </c>
      <c r="AC34" s="447">
        <f t="shared" si="20"/>
        <v>7697.5842531707258</v>
      </c>
      <c r="AD34" s="448">
        <f t="shared" si="21"/>
        <v>17494.509666297105</v>
      </c>
      <c r="AE34" s="449">
        <f t="shared" si="22"/>
        <v>87472.548331485523</v>
      </c>
      <c r="AF34" s="448">
        <f>AB34*15/100</f>
        <v>10496.705799778261</v>
      </c>
      <c r="AG34" s="448">
        <f>AB34*27.5/100</f>
        <v>19243.960632926814</v>
      </c>
      <c r="AH34" s="448">
        <f>AB34*45/100</f>
        <v>31490.117399334787</v>
      </c>
      <c r="AI34" s="448">
        <f>AB34*68.1/100</f>
        <v>47655.044330993311</v>
      </c>
      <c r="AJ34" s="449">
        <f>AB34*93.1/100+AB34</f>
        <v>135127.59266247883</v>
      </c>
      <c r="AK34" s="450">
        <f>AB34*55/100</f>
        <v>38487.921265853627</v>
      </c>
      <c r="AL34" s="450">
        <f>AB34*91.4/100</f>
        <v>63959.92733998222</v>
      </c>
      <c r="AM34" s="450">
        <f>AB34*103.9/100</f>
        <v>72707.182173130772</v>
      </c>
      <c r="AN34" s="451">
        <f>AB34*15.7/100</f>
        <v>10986.55207043458</v>
      </c>
      <c r="AO34" s="451">
        <f>AB34*25.05/100</f>
        <v>17529.4986856297</v>
      </c>
      <c r="AP34" s="643">
        <f>AB34*257.48/100+AB34</f>
        <v>250157.49262031558</v>
      </c>
      <c r="AQ34" s="380">
        <f>AP34*8.8/100</f>
        <v>22013.859350587772</v>
      </c>
      <c r="AR34" s="381">
        <f>AP34*8.8/100+AP34</f>
        <v>272171.35197090334</v>
      </c>
      <c r="AS34" s="380">
        <f>AP34*4.57/100</f>
        <v>11432.197412748423</v>
      </c>
      <c r="AT34" s="381">
        <f>AP34*13.37/100+AP34</f>
        <v>283603.54938365176</v>
      </c>
      <c r="AU34" s="380">
        <f>AP34*9.96/100</f>
        <v>24915.686264983433</v>
      </c>
      <c r="AV34" s="381">
        <f>AP34*28.51/100+AP34</f>
        <v>321477.39376636758</v>
      </c>
      <c r="AW34" s="380">
        <f>AP34*4/100</f>
        <v>10006.299704812624</v>
      </c>
      <c r="AX34" s="160"/>
      <c r="AY34" s="308"/>
      <c r="AZ34" s="160"/>
      <c r="BA34" s="160"/>
    </row>
    <row r="35" spans="1:53" ht="27.75" thickBot="1" x14ac:dyDescent="0.3">
      <c r="B35" s="263"/>
      <c r="C35" s="36" t="s">
        <v>147</v>
      </c>
      <c r="D35" s="507">
        <v>11677</v>
      </c>
      <c r="E35" s="527">
        <v>16348</v>
      </c>
      <c r="F35" s="528">
        <f>D35*55/100+D35</f>
        <v>18099.349999999999</v>
      </c>
      <c r="G35" s="529">
        <f>F35*10/100+F35</f>
        <v>19909.285</v>
      </c>
      <c r="H35" s="530">
        <f>F35*19/100+F35</f>
        <v>21538.226499999997</v>
      </c>
      <c r="I35" s="530">
        <f>F35*23.2/100+F35</f>
        <v>22298.3992</v>
      </c>
      <c r="J35" s="530">
        <f>E35*32.2/100+E35</f>
        <v>21612.056</v>
      </c>
      <c r="K35" s="531">
        <f>F35*45.7/100+F35</f>
        <v>26370.752949999998</v>
      </c>
      <c r="L35" s="532">
        <f>K35*30/100+K35</f>
        <v>34281.978835000002</v>
      </c>
      <c r="M35" s="514">
        <f>K35*45/100+K35</f>
        <v>38237.591777499998</v>
      </c>
      <c r="N35" s="515">
        <f t="shared" si="10"/>
        <v>43973.230544124999</v>
      </c>
      <c r="O35" s="516">
        <f t="shared" si="11"/>
        <v>47796.989721874997</v>
      </c>
      <c r="P35" s="516">
        <f t="shared" si="12"/>
        <v>51620.748899624996</v>
      </c>
      <c r="Q35" s="408">
        <f t="shared" si="41"/>
        <v>60346.567343250499</v>
      </c>
      <c r="R35" s="415">
        <f t="shared" si="43"/>
        <v>66381.224077575549</v>
      </c>
      <c r="S35" s="417">
        <f t="shared" si="13"/>
        <v>72415.880811900599</v>
      </c>
      <c r="T35" s="417">
        <f t="shared" si="42"/>
        <v>78450.537546225649</v>
      </c>
      <c r="U35" s="533">
        <f>Q35*15/100</f>
        <v>9051.9851014875749</v>
      </c>
      <c r="V35" s="533">
        <f>Q35*30/100</f>
        <v>18103.97020297515</v>
      </c>
      <c r="W35" s="534">
        <f>Q35*60/100+Q35</f>
        <v>96554.507749200799</v>
      </c>
      <c r="X35" s="535">
        <f>Q35*10/100</f>
        <v>6034.6567343250499</v>
      </c>
      <c r="Y35" s="535">
        <f>Q35*20/100</f>
        <v>12069.3134686501</v>
      </c>
      <c r="Z35" s="536">
        <f>Q35*39/100</f>
        <v>23535.161263867696</v>
      </c>
      <c r="AA35" s="536">
        <f>Q35*9.8/100</f>
        <v>5913.9635996385487</v>
      </c>
      <c r="AB35" s="534">
        <f>Q35*108.8/100+Q35</f>
        <v>126003.63261270704</v>
      </c>
      <c r="AC35" s="471">
        <f t="shared" si="20"/>
        <v>13860.399587397773</v>
      </c>
      <c r="AD35" s="472">
        <f t="shared" si="21"/>
        <v>31500.908153176759</v>
      </c>
      <c r="AE35" s="473">
        <f t="shared" si="22"/>
        <v>157504.54076588381</v>
      </c>
      <c r="AF35" s="472">
        <f>AB35*15/100</f>
        <v>18900.544891906055</v>
      </c>
      <c r="AG35" s="472">
        <f>AB35*27.5/100</f>
        <v>34650.998968494438</v>
      </c>
      <c r="AH35" s="537">
        <f>AB35*45/100</f>
        <v>56701.634675718167</v>
      </c>
      <c r="AI35" s="537">
        <f>AB35*68.1/100</f>
        <v>85808.473809253483</v>
      </c>
      <c r="AJ35" s="538">
        <f>AB35*93.1/100+AB35</f>
        <v>243313.01457513729</v>
      </c>
      <c r="AK35" s="539">
        <f>AB35*55/100</f>
        <v>69301.997936988875</v>
      </c>
      <c r="AL35" s="539">
        <f>AB35*91.4/100</f>
        <v>115167.32020801424</v>
      </c>
      <c r="AM35" s="539">
        <f>AB35*103.9/100</f>
        <v>130917.77428460261</v>
      </c>
      <c r="AN35" s="451">
        <f>AB35*15.7/100</f>
        <v>19782.570320195005</v>
      </c>
      <c r="AO35" s="540">
        <f>AB35*25.05/100</f>
        <v>31563.909969483109</v>
      </c>
      <c r="AP35" s="643">
        <f>AB35*257.48/100+AB35</f>
        <v>450437.7858639051</v>
      </c>
      <c r="AQ35" s="380">
        <f>AP35*8.8/100</f>
        <v>39638.52515602365</v>
      </c>
      <c r="AR35" s="381">
        <f>AP35*8.8/100+AP35</f>
        <v>490076.31101992878</v>
      </c>
      <c r="AS35" s="380">
        <f>AP35*4.57/100</f>
        <v>20585.006813980464</v>
      </c>
      <c r="AT35" s="381">
        <f>AP35*13.37/100+AP35</f>
        <v>510661.31783390918</v>
      </c>
      <c r="AU35" s="380">
        <f>AP35*9.96/100</f>
        <v>44863.603472044953</v>
      </c>
      <c r="AV35" s="646">
        <f>AP35*28.51/100+AP35</f>
        <v>578857.59861370444</v>
      </c>
      <c r="AW35" s="380">
        <f>AP35*4/100</f>
        <v>18017.511434556203</v>
      </c>
      <c r="AX35" s="160"/>
      <c r="AY35" s="308"/>
      <c r="AZ35" s="160"/>
      <c r="BA35" s="160"/>
    </row>
    <row r="36" spans="1:53" ht="15.75" thickBot="1" x14ac:dyDescent="0.3">
      <c r="B36" s="263"/>
      <c r="C36" s="122" t="s">
        <v>0</v>
      </c>
      <c r="D36" s="1012" t="s">
        <v>280</v>
      </c>
      <c r="E36" s="1013"/>
      <c r="F36" s="1014"/>
      <c r="G36" s="1009" t="s">
        <v>280</v>
      </c>
      <c r="H36" s="1010"/>
      <c r="I36" s="1010"/>
      <c r="J36" s="1010"/>
      <c r="K36" s="1011"/>
      <c r="L36" s="1015" t="s">
        <v>280</v>
      </c>
      <c r="M36" s="1016"/>
      <c r="N36" s="1017" t="s">
        <v>280</v>
      </c>
      <c r="O36" s="1018"/>
      <c r="P36" s="1018"/>
      <c r="Q36" s="1019"/>
      <c r="R36" s="1020" t="s">
        <v>280</v>
      </c>
      <c r="S36" s="1021"/>
      <c r="T36" s="1021"/>
      <c r="U36" s="1021"/>
      <c r="V36" s="1021"/>
      <c r="W36" s="1021"/>
      <c r="X36" s="1021"/>
      <c r="Y36" s="1021"/>
      <c r="Z36" s="1021"/>
      <c r="AA36" s="1021"/>
      <c r="AB36" s="1021"/>
      <c r="AC36" s="1022" t="s">
        <v>280</v>
      </c>
      <c r="AD36" s="1023"/>
      <c r="AE36" s="1023"/>
      <c r="AF36" s="1023"/>
      <c r="AG36" s="1023"/>
      <c r="AH36" s="1023"/>
      <c r="AI36" s="1023"/>
      <c r="AJ36" s="1023"/>
      <c r="AK36" s="1023"/>
      <c r="AL36" s="1023"/>
      <c r="AM36" s="1023"/>
      <c r="AN36" s="1023"/>
      <c r="AO36" s="1023"/>
      <c r="AP36" s="868" t="s">
        <v>280</v>
      </c>
      <c r="AQ36" s="868"/>
      <c r="AR36" s="868"/>
      <c r="AS36" s="868"/>
      <c r="AT36" s="868"/>
      <c r="AU36" s="868"/>
      <c r="AV36" s="868"/>
      <c r="AW36" s="868"/>
      <c r="AX36" s="160"/>
      <c r="AY36" s="308"/>
      <c r="AZ36" s="160"/>
      <c r="BA36" s="160"/>
    </row>
    <row r="37" spans="1:53" ht="15.75" thickBot="1" x14ac:dyDescent="0.3">
      <c r="B37" s="263"/>
      <c r="C37" s="291" t="s">
        <v>279</v>
      </c>
      <c r="D37" s="541"/>
      <c r="E37" s="542"/>
      <c r="F37" s="542"/>
      <c r="G37" s="145"/>
      <c r="H37" s="145"/>
      <c r="I37" s="145"/>
      <c r="J37" s="145"/>
      <c r="K37" s="543"/>
      <c r="L37" s="544"/>
      <c r="M37" s="544"/>
      <c r="N37" s="543"/>
      <c r="O37" s="543"/>
      <c r="P37" s="543"/>
      <c r="Q37" s="545"/>
      <c r="R37" s="466"/>
      <c r="S37" s="466"/>
      <c r="T37" s="466"/>
      <c r="U37" s="546"/>
      <c r="V37" s="546"/>
      <c r="W37" s="466"/>
      <c r="X37" s="547"/>
      <c r="Y37" s="547"/>
      <c r="Z37" s="548"/>
      <c r="AA37" s="548"/>
      <c r="AB37" s="466">
        <v>42651</v>
      </c>
      <c r="AC37" s="549">
        <f>AB37*11/100</f>
        <v>4691.6099999999997</v>
      </c>
      <c r="AD37" s="549">
        <f>AB37*25/100</f>
        <v>10662.75</v>
      </c>
      <c r="AE37" s="550">
        <f>AB37*25/100+AB37</f>
        <v>53313.75</v>
      </c>
      <c r="AF37" s="549">
        <f>AB37*15/100</f>
        <v>6397.65</v>
      </c>
      <c r="AG37" s="549">
        <f>AB37*27.5/100</f>
        <v>11729.025</v>
      </c>
      <c r="AH37" s="549">
        <f>AB37*45/100</f>
        <v>19192.95</v>
      </c>
      <c r="AI37" s="549">
        <f>AB37*68.1/100</f>
        <v>29045.330999999995</v>
      </c>
      <c r="AJ37" s="550">
        <f>AB37*93.1/100+AB37</f>
        <v>82359.081000000006</v>
      </c>
      <c r="AK37" s="551">
        <f>AB37*55/100</f>
        <v>23458.05</v>
      </c>
      <c r="AL37" s="551">
        <f>AB37*91.4/100</f>
        <v>38983.014000000003</v>
      </c>
      <c r="AM37" s="551">
        <f>AB37*103.9/100</f>
        <v>44314.389000000003</v>
      </c>
      <c r="AN37" s="552">
        <f>AB37*15.7/100</f>
        <v>6696.2069999999994</v>
      </c>
      <c r="AO37" s="552">
        <f>AB37*25.05/100</f>
        <v>10684.075500000001</v>
      </c>
      <c r="AP37" s="643">
        <f>AB37*257.48/100+AB37</f>
        <v>152468.7948</v>
      </c>
      <c r="AQ37" s="380">
        <f>AP37*8.8/100</f>
        <v>13417.253942400001</v>
      </c>
      <c r="AR37" s="381">
        <f>AP37*8.8/100+AP37</f>
        <v>165886.04874240002</v>
      </c>
      <c r="AS37" s="380">
        <f>AP37*4.57/100</f>
        <v>6967.8239223600003</v>
      </c>
      <c r="AT37" s="381">
        <f>AP37*13.37/100+AP37</f>
        <v>172853.87266476001</v>
      </c>
      <c r="AU37" s="380">
        <f>AP37*9.96/100</f>
        <v>15185.891962080002</v>
      </c>
      <c r="AV37" s="381">
        <f>AP37*28.51/100+AP37</f>
        <v>195937.64819748001</v>
      </c>
      <c r="AW37" s="380">
        <f>AP37*4/100</f>
        <v>6098.751792</v>
      </c>
      <c r="AX37" s="160"/>
      <c r="AY37" s="308"/>
      <c r="AZ37" s="160"/>
      <c r="BA37" s="160"/>
    </row>
    <row r="38" spans="1:53" s="237" customFormat="1" ht="15.75" thickBot="1" x14ac:dyDescent="0.3">
      <c r="B38" s="554"/>
      <c r="C38" s="869"/>
      <c r="D38" s="870"/>
      <c r="E38" s="870"/>
      <c r="F38" s="870"/>
      <c r="G38" s="870"/>
      <c r="H38" s="870"/>
      <c r="I38" s="870"/>
      <c r="J38" s="870"/>
      <c r="K38" s="870"/>
      <c r="L38" s="870"/>
      <c r="M38" s="870"/>
      <c r="N38" s="870"/>
      <c r="O38" s="870"/>
      <c r="P38" s="870"/>
      <c r="Q38" s="870"/>
      <c r="R38" s="870"/>
      <c r="S38" s="870"/>
      <c r="T38" s="870"/>
      <c r="U38" s="870"/>
      <c r="V38" s="870"/>
      <c r="W38" s="870"/>
      <c r="X38" s="870"/>
      <c r="Y38" s="870"/>
      <c r="Z38" s="870"/>
      <c r="AA38" s="870"/>
      <c r="AB38" s="870"/>
      <c r="AC38" s="870"/>
      <c r="AD38" s="870"/>
      <c r="AE38" s="870"/>
      <c r="AF38" s="870"/>
      <c r="AG38" s="870"/>
      <c r="AH38" s="870"/>
      <c r="AI38" s="870"/>
      <c r="AJ38" s="870"/>
      <c r="AK38" s="870"/>
      <c r="AL38" s="870"/>
      <c r="AM38" s="870"/>
      <c r="AN38" s="870"/>
      <c r="AO38" s="870"/>
      <c r="AP38" s="871"/>
      <c r="AQ38" s="871"/>
      <c r="AR38" s="871"/>
      <c r="AS38" s="871"/>
      <c r="AT38" s="871"/>
      <c r="AU38" s="871"/>
      <c r="AV38" s="871"/>
      <c r="AW38" s="872"/>
      <c r="AX38" s="662"/>
      <c r="AZ38" s="662"/>
      <c r="BA38" s="662"/>
    </row>
    <row r="39" spans="1:53" s="237" customFormat="1" ht="15.2" customHeight="1" thickBot="1" x14ac:dyDescent="0.3">
      <c r="B39" s="554"/>
      <c r="C39" s="1024" t="s">
        <v>209</v>
      </c>
      <c r="D39" s="1025"/>
      <c r="E39" s="997" t="s">
        <v>209</v>
      </c>
      <c r="F39" s="998"/>
      <c r="G39" s="1000" t="s">
        <v>210</v>
      </c>
      <c r="H39" s="1001"/>
      <c r="I39" s="1001"/>
      <c r="J39" s="1001"/>
      <c r="K39" s="1002"/>
      <c r="L39" s="912" t="s">
        <v>209</v>
      </c>
      <c r="M39" s="996"/>
      <c r="N39" s="914" t="s">
        <v>209</v>
      </c>
      <c r="O39" s="915"/>
      <c r="P39" s="915"/>
      <c r="Q39" s="915"/>
      <c r="R39" s="912" t="s">
        <v>209</v>
      </c>
      <c r="S39" s="913"/>
      <c r="T39" s="913"/>
      <c r="U39" s="913"/>
      <c r="V39" s="913"/>
      <c r="W39" s="913"/>
      <c r="X39" s="913"/>
      <c r="Y39" s="913"/>
      <c r="Z39" s="913"/>
      <c r="AA39" s="913"/>
      <c r="AB39" s="913"/>
      <c r="AC39" s="932" t="s">
        <v>209</v>
      </c>
      <c r="AD39" s="933"/>
      <c r="AE39" s="933"/>
      <c r="AF39" s="933"/>
      <c r="AG39" s="933"/>
      <c r="AH39" s="933"/>
      <c r="AI39" s="933"/>
      <c r="AJ39" s="933"/>
      <c r="AK39" s="933"/>
      <c r="AL39" s="933"/>
      <c r="AM39" s="933"/>
      <c r="AN39" s="933"/>
      <c r="AO39" s="933"/>
      <c r="AP39" s="873" t="s">
        <v>209</v>
      </c>
      <c r="AQ39" s="873"/>
      <c r="AR39" s="873"/>
      <c r="AS39" s="873"/>
      <c r="AT39" s="873"/>
      <c r="AU39" s="873"/>
      <c r="AV39" s="873"/>
      <c r="AW39" s="873"/>
      <c r="AX39" s="664"/>
      <c r="AY39" s="644"/>
      <c r="AZ39" s="664"/>
      <c r="BA39" s="664"/>
    </row>
    <row r="40" spans="1:53" ht="15.75" thickBot="1" x14ac:dyDescent="0.3">
      <c r="B40" s="263"/>
      <c r="C40" s="1026"/>
      <c r="D40" s="1027"/>
      <c r="E40" s="555">
        <v>287</v>
      </c>
      <c r="F40" s="556">
        <v>318</v>
      </c>
      <c r="G40" s="521">
        <f>F40*10/100+F40</f>
        <v>349.8</v>
      </c>
      <c r="H40" s="557">
        <f>F40*19/100+F40</f>
        <v>378.42</v>
      </c>
      <c r="I40" s="522">
        <f>F40*23.2/100+F40</f>
        <v>391.77600000000001</v>
      </c>
      <c r="J40" s="522">
        <f>F40*32.2/100+F40</f>
        <v>420.39600000000002</v>
      </c>
      <c r="K40" s="558">
        <f>F40*45.7/100+F40</f>
        <v>463.32600000000002</v>
      </c>
      <c r="L40" s="559">
        <f>K40*30/100+K40</f>
        <v>602.32380000000001</v>
      </c>
      <c r="M40" s="560">
        <f>K40*45/100+K40</f>
        <v>671.82270000000005</v>
      </c>
      <c r="N40" s="496">
        <f>M40*15/100+M40</f>
        <v>772.59610500000008</v>
      </c>
      <c r="O40" s="497">
        <f>M40*25/100+M40</f>
        <v>839.7783750000001</v>
      </c>
      <c r="P40" s="497">
        <f>M40*35/100+M40</f>
        <v>906.96064500000011</v>
      </c>
      <c r="Q40" s="366">
        <f>(M40*57.82)/100+M40</f>
        <v>1060.2705851400001</v>
      </c>
      <c r="R40" s="441">
        <f>(Q40*10)/100+Q40</f>
        <v>1166.297643654</v>
      </c>
      <c r="S40" s="442">
        <f>(Q40*20)/100+Q40</f>
        <v>1272.3247021680002</v>
      </c>
      <c r="T40" s="442">
        <f>(Q40*30)/100+Q40</f>
        <v>1378.3517606820001</v>
      </c>
      <c r="U40" s="525">
        <f>Q40*15/100</f>
        <v>159.04058777100002</v>
      </c>
      <c r="V40" s="525">
        <f>Q40*30/100</f>
        <v>318.08117554200004</v>
      </c>
      <c r="W40" s="446">
        <f>Q40*60/100+Q40</f>
        <v>1696.4329362240001</v>
      </c>
      <c r="X40" s="526">
        <f>Q40*10/100</f>
        <v>106.02705851400002</v>
      </c>
      <c r="Y40" s="526">
        <f>Q40*20/100</f>
        <v>212.05411702800004</v>
      </c>
      <c r="Z40" s="445">
        <f>Q40*39/100</f>
        <v>413.50552820460007</v>
      </c>
      <c r="AA40" s="445">
        <f>Q40*9.8/100</f>
        <v>103.90651734372003</v>
      </c>
      <c r="AB40" s="446">
        <f>Q40*108.8/100+Q40</f>
        <v>2213.8449817723204</v>
      </c>
      <c r="AC40" s="447">
        <f t="shared" si="20"/>
        <v>243.52294799495525</v>
      </c>
      <c r="AD40" s="448">
        <f t="shared" si="21"/>
        <v>553.46124544308009</v>
      </c>
      <c r="AE40" s="449">
        <f t="shared" si="22"/>
        <v>2767.3062272154002</v>
      </c>
      <c r="AF40" s="448">
        <f>AB40*15/100</f>
        <v>332.07674726584804</v>
      </c>
      <c r="AG40" s="448">
        <f>AB40*27.5/100</f>
        <v>608.80736998738803</v>
      </c>
      <c r="AH40" s="448">
        <f>AB40*45/100</f>
        <v>996.23024179754418</v>
      </c>
      <c r="AI40" s="448">
        <f>AB40*68.1/100</f>
        <v>1507.6284325869501</v>
      </c>
      <c r="AJ40" s="449">
        <f>AB40*93.1/100+AB40</f>
        <v>4274.9346598023503</v>
      </c>
      <c r="AK40" s="450">
        <f>AB40*55/100</f>
        <v>1217.6147399747761</v>
      </c>
      <c r="AL40" s="450">
        <f>AB40*91.4/100</f>
        <v>2023.4543133399011</v>
      </c>
      <c r="AM40" s="450">
        <f>AB40*103.9/100</f>
        <v>2300.184936061441</v>
      </c>
      <c r="AN40" s="451">
        <f>AB40*15.7/100</f>
        <v>347.57366213825429</v>
      </c>
      <c r="AO40" s="451">
        <f>AB40*25.05/100</f>
        <v>554.56816793396627</v>
      </c>
      <c r="AP40" s="643">
        <v>7909</v>
      </c>
      <c r="AQ40" s="380">
        <f>AP40*8.8/100</f>
        <v>695.99200000000008</v>
      </c>
      <c r="AR40" s="381">
        <f>AP40*8.8/100+AP40</f>
        <v>8604.9920000000002</v>
      </c>
      <c r="AS40" s="380">
        <f>AP40*4.57/100</f>
        <v>361.44130000000007</v>
      </c>
      <c r="AT40" s="381">
        <f>AP40*13.37/100+AP40</f>
        <v>8966.4333000000006</v>
      </c>
      <c r="AU40" s="380">
        <f>AP40*9.96/100</f>
        <v>787.73640000000012</v>
      </c>
      <c r="AV40" s="381">
        <f>AP40*28.51/100+AP40</f>
        <v>10163.8559</v>
      </c>
      <c r="AW40" s="380">
        <f>AP40*4/100</f>
        <v>316.36</v>
      </c>
      <c r="AX40" s="160"/>
      <c r="AY40" s="308"/>
      <c r="AZ40" s="160"/>
      <c r="BA40" s="160"/>
    </row>
    <row r="41" spans="1:53" ht="15.75" customHeight="1" thickBot="1" x14ac:dyDescent="0.3">
      <c r="A41" s="561"/>
      <c r="B41" s="263"/>
      <c r="C41" s="934" t="s">
        <v>151</v>
      </c>
      <c r="D41" s="935"/>
      <c r="E41" s="562">
        <v>80</v>
      </c>
      <c r="F41" s="563">
        <v>88</v>
      </c>
      <c r="G41" s="564">
        <f>F41*10/100+F41</f>
        <v>96.8</v>
      </c>
      <c r="H41" s="565">
        <f>F41*19/100+F41</f>
        <v>104.72</v>
      </c>
      <c r="I41" s="566">
        <f>F41*23.2/100+F41</f>
        <v>108.416</v>
      </c>
      <c r="J41" s="566">
        <f>F41*32.2/100+F41</f>
        <v>116.336</v>
      </c>
      <c r="K41" s="567">
        <f>F41*45.7/100+F41</f>
        <v>128.21600000000001</v>
      </c>
      <c r="L41" s="568">
        <f>K41*30/100+K41</f>
        <v>166.6808</v>
      </c>
      <c r="M41" s="569">
        <f>K41*45/100+K41</f>
        <v>185.91320000000002</v>
      </c>
      <c r="N41" s="505">
        <f>M41*15/100+M41</f>
        <v>213.80018000000001</v>
      </c>
      <c r="O41" s="506">
        <f>M41*25/100+M41</f>
        <v>232.39150000000004</v>
      </c>
      <c r="P41" s="506">
        <f>M41*35/100+M41</f>
        <v>250.98282</v>
      </c>
      <c r="Q41" s="394">
        <f>(M41*57.82)/100+M41</f>
        <v>293.40821224000001</v>
      </c>
      <c r="R41" s="367">
        <f>(Q41*10)/100+Q41</f>
        <v>322.74903346400004</v>
      </c>
      <c r="S41" s="368">
        <f>(Q41*20)/100+Q41</f>
        <v>352.089854688</v>
      </c>
      <c r="T41" s="368">
        <f>(Q41*30)/100+Q41</f>
        <v>381.43067591200003</v>
      </c>
      <c r="U41" s="525">
        <f t="shared" ref="U41:U42" si="118">Q41*15/100</f>
        <v>44.011231836000007</v>
      </c>
      <c r="V41" s="525">
        <f t="shared" ref="V41:V42" si="119">Q41*30/100</f>
        <v>88.022463672000015</v>
      </c>
      <c r="W41" s="446">
        <f t="shared" ref="W41" si="120">Q41*60/100+Q41</f>
        <v>469.45313958400004</v>
      </c>
      <c r="X41" s="370">
        <f t="shared" ref="X41:X42" si="121">Q41*10/100</f>
        <v>29.340821224000003</v>
      </c>
      <c r="Y41" s="370">
        <f t="shared" ref="Y41:Y42" si="122">Q41*20/100</f>
        <v>58.681642448000005</v>
      </c>
      <c r="Z41" s="445">
        <f t="shared" ref="Z41:Z42" si="123">Q41*39/100</f>
        <v>114.42920277360001</v>
      </c>
      <c r="AA41" s="445">
        <f>Q41*9.8/100</f>
        <v>28.754004799520004</v>
      </c>
      <c r="AB41" s="446">
        <f>Q41*108.8/100+Q41</f>
        <v>612.6363471571201</v>
      </c>
      <c r="AC41" s="373">
        <f t="shared" si="20"/>
        <v>67.389998187283211</v>
      </c>
      <c r="AD41" s="374">
        <f t="shared" si="21"/>
        <v>153.15908678928002</v>
      </c>
      <c r="AE41" s="376">
        <f t="shared" si="22"/>
        <v>765.79543394640018</v>
      </c>
      <c r="AF41" s="374">
        <f t="shared" ref="AF41:AF42" si="124">AB41*15/100</f>
        <v>91.895452073568009</v>
      </c>
      <c r="AG41" s="374">
        <f t="shared" ref="AG41:AG42" si="125">AB41*27.5/100</f>
        <v>168.47499546820802</v>
      </c>
      <c r="AH41" s="448">
        <f t="shared" ref="AH41:AH42" si="126">AB41*45/100</f>
        <v>275.68635622070406</v>
      </c>
      <c r="AI41" s="448">
        <f t="shared" ref="AI41:AI42" si="127">AB41*68.1/100</f>
        <v>417.20535241399875</v>
      </c>
      <c r="AJ41" s="449">
        <f t="shared" ref="AJ41:AJ42" si="128">AB41*93.1/100+AB41</f>
        <v>1183.0007863603987</v>
      </c>
      <c r="AK41" s="450">
        <f t="shared" ref="AK41:AK42" si="129">AB41*55/100</f>
        <v>336.94999093641604</v>
      </c>
      <c r="AL41" s="450">
        <f t="shared" ref="AL41:AL42" si="130">AB41*91.4/100</f>
        <v>559.94962130160786</v>
      </c>
      <c r="AM41" s="450">
        <f t="shared" ref="AM41:AM42" si="131">AB41*103.9/100</f>
        <v>636.52916469624779</v>
      </c>
      <c r="AN41" s="451">
        <f t="shared" ref="AN41:AN42" si="132">AB41*15.7/100</f>
        <v>96.183906503667856</v>
      </c>
      <c r="AO41" s="451">
        <f t="shared" ref="AO41:AO42" si="133">AB41*25.05/100</f>
        <v>153.4654049628586</v>
      </c>
      <c r="AP41" s="643">
        <v>2215</v>
      </c>
      <c r="AQ41" s="380">
        <f t="shared" ref="AQ41:AQ42" si="134">AP41*8.8/100</f>
        <v>194.92</v>
      </c>
      <c r="AR41" s="381">
        <f t="shared" ref="AR41:AR42" si="135">AP41*8.8/100+AP41</f>
        <v>2409.92</v>
      </c>
      <c r="AS41" s="380">
        <f t="shared" ref="AS41:AS42" si="136">AP41*4.57/100</f>
        <v>101.22550000000001</v>
      </c>
      <c r="AT41" s="381">
        <f t="shared" ref="AT41:AT42" si="137">AP41*13.37/100+AP41</f>
        <v>2511.1455000000001</v>
      </c>
      <c r="AU41" s="380">
        <f t="shared" ref="AU41:AU42" si="138">AP41*9.96/100</f>
        <v>220.614</v>
      </c>
      <c r="AV41" s="646">
        <f t="shared" ref="AV41:AV42" si="139">AP41*28.51/100+AP41</f>
        <v>2846.4965000000002</v>
      </c>
      <c r="AW41" s="380">
        <f t="shared" ref="AW41:AW42" si="140">AP41*4/100</f>
        <v>88.6</v>
      </c>
      <c r="AX41" s="160"/>
      <c r="AY41" s="308"/>
      <c r="AZ41" s="160"/>
      <c r="BA41" s="160"/>
    </row>
    <row r="42" spans="1:53" ht="15.75" thickBot="1" x14ac:dyDescent="0.3">
      <c r="B42" s="263"/>
      <c r="C42" s="1028" t="s">
        <v>148</v>
      </c>
      <c r="D42" s="1029"/>
      <c r="E42" s="570">
        <f t="shared" ref="E42:S42" si="141">E40+E41</f>
        <v>367</v>
      </c>
      <c r="F42" s="571">
        <f t="shared" si="141"/>
        <v>406</v>
      </c>
      <c r="G42" s="572">
        <f t="shared" si="141"/>
        <v>446.6</v>
      </c>
      <c r="H42" s="573">
        <f t="shared" si="141"/>
        <v>483.14</v>
      </c>
      <c r="I42" s="574">
        <f t="shared" si="141"/>
        <v>500.19200000000001</v>
      </c>
      <c r="J42" s="574">
        <f t="shared" si="141"/>
        <v>536.73199999999997</v>
      </c>
      <c r="K42" s="575">
        <f t="shared" si="141"/>
        <v>591.54200000000003</v>
      </c>
      <c r="L42" s="570">
        <f t="shared" si="141"/>
        <v>769.00459999999998</v>
      </c>
      <c r="M42" s="576">
        <f t="shared" si="141"/>
        <v>857.73590000000013</v>
      </c>
      <c r="N42" s="572">
        <f t="shared" si="141"/>
        <v>986.39628500000003</v>
      </c>
      <c r="O42" s="574">
        <f t="shared" si="141"/>
        <v>1072.169875</v>
      </c>
      <c r="P42" s="574">
        <f t="shared" si="141"/>
        <v>1157.9434650000001</v>
      </c>
      <c r="Q42" s="573">
        <f t="shared" si="141"/>
        <v>1353.6787973800001</v>
      </c>
      <c r="R42" s="570">
        <f t="shared" si="141"/>
        <v>1489.0466771179999</v>
      </c>
      <c r="S42" s="577">
        <f t="shared" si="141"/>
        <v>1624.4145568560002</v>
      </c>
      <c r="T42" s="577">
        <f>T40+T41</f>
        <v>1759.782436594</v>
      </c>
      <c r="U42" s="578">
        <f t="shared" si="118"/>
        <v>203.051819607</v>
      </c>
      <c r="V42" s="578">
        <f t="shared" si="119"/>
        <v>406.103639214</v>
      </c>
      <c r="W42" s="579">
        <f>W40+W41</f>
        <v>2165.886075808</v>
      </c>
      <c r="X42" s="547">
        <f t="shared" si="121"/>
        <v>135.367879738</v>
      </c>
      <c r="Y42" s="547">
        <f t="shared" si="122"/>
        <v>270.735759476</v>
      </c>
      <c r="Z42" s="470">
        <f t="shared" si="123"/>
        <v>527.93473097820004</v>
      </c>
      <c r="AA42" s="470">
        <f>Q42*9.8/100</f>
        <v>132.66052214324</v>
      </c>
      <c r="AB42" s="580">
        <f>Q42*108.8/100+Q42</f>
        <v>2826.4813289294402</v>
      </c>
      <c r="AC42" s="422">
        <f t="shared" si="20"/>
        <v>310.91294618223839</v>
      </c>
      <c r="AD42" s="423">
        <f t="shared" si="21"/>
        <v>706.62033223236006</v>
      </c>
      <c r="AE42" s="488">
        <f t="shared" si="22"/>
        <v>3533.1016611618002</v>
      </c>
      <c r="AF42" s="423">
        <f t="shared" si="124"/>
        <v>423.97219933941602</v>
      </c>
      <c r="AG42" s="423">
        <f t="shared" si="125"/>
        <v>777.28236545559605</v>
      </c>
      <c r="AH42" s="448">
        <f t="shared" si="126"/>
        <v>1271.9165980182481</v>
      </c>
      <c r="AI42" s="448">
        <f t="shared" si="127"/>
        <v>1924.8337850009486</v>
      </c>
      <c r="AJ42" s="449">
        <f t="shared" si="128"/>
        <v>5457.9354461627481</v>
      </c>
      <c r="AK42" s="450">
        <f t="shared" si="129"/>
        <v>1554.5647309111921</v>
      </c>
      <c r="AL42" s="450">
        <f t="shared" si="130"/>
        <v>2583.4039346415084</v>
      </c>
      <c r="AM42" s="450">
        <f t="shared" si="131"/>
        <v>2936.7141007576884</v>
      </c>
      <c r="AN42" s="451">
        <f t="shared" si="132"/>
        <v>443.75756864192209</v>
      </c>
      <c r="AO42" s="451">
        <f t="shared" si="133"/>
        <v>708.03357289682481</v>
      </c>
      <c r="AP42" s="643">
        <f>AP40+AP41</f>
        <v>10124</v>
      </c>
      <c r="AQ42" s="380">
        <f t="shared" si="134"/>
        <v>890.91200000000015</v>
      </c>
      <c r="AR42" s="381">
        <f t="shared" si="135"/>
        <v>11014.912</v>
      </c>
      <c r="AS42" s="380">
        <f t="shared" si="136"/>
        <v>462.66680000000002</v>
      </c>
      <c r="AT42" s="381">
        <f t="shared" si="137"/>
        <v>11477.578799999999</v>
      </c>
      <c r="AU42" s="380">
        <f t="shared" si="138"/>
        <v>1008.3504</v>
      </c>
      <c r="AV42" s="646">
        <f t="shared" si="139"/>
        <v>13010.3524</v>
      </c>
      <c r="AW42" s="380">
        <f t="shared" si="140"/>
        <v>404.96</v>
      </c>
      <c r="AX42" s="160"/>
      <c r="AY42" s="308"/>
      <c r="AZ42" s="160"/>
      <c r="BA42" s="160"/>
    </row>
    <row r="43" spans="1:53" s="237" customFormat="1" ht="15.75" thickBot="1" x14ac:dyDescent="0.3">
      <c r="B43" s="554"/>
      <c r="C43" s="1033"/>
      <c r="D43" s="1034"/>
      <c r="E43" s="1034"/>
      <c r="F43" s="1034"/>
      <c r="G43" s="1034"/>
      <c r="H43" s="1034"/>
      <c r="I43" s="1034"/>
      <c r="J43" s="1034"/>
      <c r="K43" s="1034"/>
      <c r="L43" s="1034"/>
      <c r="M43" s="1034"/>
      <c r="N43" s="1034"/>
      <c r="O43" s="1034"/>
      <c r="P43" s="1034"/>
      <c r="Q43" s="1034"/>
      <c r="R43" s="1034"/>
      <c r="S43" s="1034"/>
      <c r="T43" s="1034"/>
      <c r="U43" s="1034"/>
      <c r="V43" s="1034"/>
      <c r="W43" s="1034"/>
      <c r="X43" s="1034"/>
      <c r="Y43" s="1034"/>
      <c r="Z43" s="1034"/>
      <c r="AA43" s="1034"/>
      <c r="AB43" s="1034"/>
      <c r="AC43" s="1034"/>
      <c r="AD43" s="1034"/>
      <c r="AE43" s="1034"/>
      <c r="AF43" s="1034"/>
      <c r="AG43" s="1034"/>
      <c r="AH43" s="1034"/>
      <c r="AI43" s="1034"/>
      <c r="AJ43" s="1034"/>
      <c r="AK43" s="1034"/>
      <c r="AL43" s="1034"/>
      <c r="AM43" s="1034"/>
      <c r="AN43" s="1034"/>
      <c r="AO43" s="1034"/>
      <c r="AP43" s="1035"/>
      <c r="AQ43" s="1035"/>
      <c r="AR43" s="1035"/>
      <c r="AS43" s="1035"/>
      <c r="AT43" s="1035"/>
      <c r="AU43" s="1035"/>
      <c r="AV43" s="1035"/>
      <c r="AW43" s="1036"/>
      <c r="AX43" s="662"/>
      <c r="AZ43" s="662"/>
      <c r="BA43" s="662"/>
    </row>
    <row r="44" spans="1:53" s="237" customFormat="1" ht="15.75" thickBot="1" x14ac:dyDescent="0.3">
      <c r="B44" s="581"/>
      <c r="C44" s="1039" t="s">
        <v>146</v>
      </c>
      <c r="D44" s="1040"/>
      <c r="E44" s="1040"/>
      <c r="F44" s="1040"/>
      <c r="G44" s="582">
        <v>309</v>
      </c>
      <c r="H44" s="583">
        <v>432</v>
      </c>
      <c r="I44" s="584">
        <f>G44*55/100+G44</f>
        <v>478.95</v>
      </c>
      <c r="J44" s="585">
        <f>I44*10/100+I44</f>
        <v>526.84500000000003</v>
      </c>
      <c r="K44" s="586">
        <f>I44*45.7/100+I44</f>
        <v>697.83015</v>
      </c>
      <c r="L44" s="587">
        <f>K44*30/100+K44</f>
        <v>907.17919500000005</v>
      </c>
      <c r="M44" s="588">
        <f>K44*45/100+K44</f>
        <v>1011.8537175</v>
      </c>
      <c r="N44" s="589">
        <f>M44*15/100+M44</f>
        <v>1163.6317751250001</v>
      </c>
      <c r="O44" s="584">
        <f>M44*Q474/100+M44</f>
        <v>1011.8537175</v>
      </c>
      <c r="P44" s="584">
        <f>M44*35/100+M44</f>
        <v>1366.002518625</v>
      </c>
      <c r="Q44" s="590">
        <f>(M44*57.82)/100+M44</f>
        <v>1596.9075369585</v>
      </c>
      <c r="R44" s="390">
        <f>(Q44*10)/100+Q44</f>
        <v>1756.59829065435</v>
      </c>
      <c r="S44" s="591">
        <f>(Q44*20)/100+Q44</f>
        <v>1916.2890443502001</v>
      </c>
      <c r="T44" s="592">
        <f>(Q44*30)/100+Q44</f>
        <v>2075.9797980460498</v>
      </c>
      <c r="U44" s="591">
        <f>Q44*80/100+Q44</f>
        <v>2874.4335665253002</v>
      </c>
      <c r="V44" s="591">
        <v>2874.4335665253002</v>
      </c>
      <c r="W44" s="593">
        <v>2874.4335665253002</v>
      </c>
      <c r="X44" s="593">
        <v>2874.4335665253002</v>
      </c>
      <c r="Y44" s="593">
        <v>2874.4335665253002</v>
      </c>
      <c r="Z44" s="594">
        <f>Q44*19/100</f>
        <v>303.41243202211501</v>
      </c>
      <c r="AA44" s="594">
        <f>Q44*9.8/100</f>
        <v>156.49693862193303</v>
      </c>
      <c r="AB44" s="593">
        <f>Q44*108.8/100+Q44</f>
        <v>3334.3429371693483</v>
      </c>
      <c r="AC44" s="595">
        <f t="shared" si="20"/>
        <v>366.77772308862836</v>
      </c>
      <c r="AD44" s="596">
        <f t="shared" si="21"/>
        <v>833.58573429233695</v>
      </c>
      <c r="AE44" s="597">
        <f>AB44*107.5/100+AB44</f>
        <v>6918.7615946263977</v>
      </c>
      <c r="AF44" s="598">
        <v>6918.76</v>
      </c>
      <c r="AG44" s="598">
        <v>6918.76</v>
      </c>
      <c r="AH44" s="598">
        <f>AB44*122.5/100+AB44</f>
        <v>7418.9130352018001</v>
      </c>
      <c r="AI44" s="598">
        <v>7851</v>
      </c>
      <c r="AJ44" s="1037">
        <v>9118</v>
      </c>
      <c r="AK44" s="1038"/>
      <c r="AL44" s="599">
        <v>10396</v>
      </c>
      <c r="AM44" s="599">
        <v>10396</v>
      </c>
      <c r="AN44" s="600">
        <f>AB44*15/100</f>
        <v>500.15144057540221</v>
      </c>
      <c r="AO44" s="601">
        <f>AB44*25.05/100</f>
        <v>835.25290576092175</v>
      </c>
      <c r="AP44" s="553">
        <v>11911</v>
      </c>
      <c r="AQ44" s="602">
        <f>AP44*8.8/100+AP44</f>
        <v>12959.168</v>
      </c>
      <c r="AR44" s="1060">
        <f>AP44*4.57/100+AQ44</f>
        <v>13503.500700000001</v>
      </c>
      <c r="AS44" s="1061"/>
      <c r="AT44" s="603">
        <f>AP44*13.37/100+AP44</f>
        <v>13503.500700000001</v>
      </c>
      <c r="AU44" s="380">
        <f>AP44*9.96/100</f>
        <v>1186.3356000000001</v>
      </c>
      <c r="AV44" s="381">
        <f>AP44*28.51/100+AP44</f>
        <v>15306.8261</v>
      </c>
      <c r="AW44" s="380">
        <f>AP44*4/100</f>
        <v>476.44</v>
      </c>
      <c r="AX44" s="664"/>
      <c r="AY44" s="644"/>
      <c r="AZ44" s="664"/>
      <c r="BA44" s="664"/>
    </row>
    <row r="45" spans="1:53" s="237" customFormat="1" ht="15.75" thickBot="1" x14ac:dyDescent="0.3">
      <c r="B45" s="581"/>
      <c r="C45" s="1030"/>
      <c r="D45" s="1031"/>
      <c r="E45" s="1031"/>
      <c r="F45" s="1031"/>
      <c r="G45" s="1031"/>
      <c r="H45" s="1031"/>
      <c r="I45" s="1031"/>
      <c r="J45" s="1031"/>
      <c r="K45" s="1031"/>
      <c r="L45" s="1031"/>
      <c r="M45" s="1031"/>
      <c r="N45" s="1031"/>
      <c r="O45" s="1031"/>
      <c r="P45" s="1031"/>
      <c r="Q45" s="1031"/>
      <c r="R45" s="1031"/>
      <c r="S45" s="1031"/>
      <c r="T45" s="1031"/>
      <c r="U45" s="1031"/>
      <c r="V45" s="1031"/>
      <c r="W45" s="1031"/>
      <c r="X45" s="1031"/>
      <c r="Y45" s="1031"/>
      <c r="Z45" s="1031"/>
      <c r="AA45" s="1031"/>
      <c r="AB45" s="1031"/>
      <c r="AC45" s="1031"/>
      <c r="AD45" s="1031"/>
      <c r="AE45" s="1031"/>
      <c r="AF45" s="1031"/>
      <c r="AG45" s="1031"/>
      <c r="AH45" s="1031"/>
      <c r="AI45" s="1031"/>
      <c r="AJ45" s="1031"/>
      <c r="AK45" s="1031"/>
      <c r="AL45" s="1031"/>
      <c r="AM45" s="1031"/>
      <c r="AN45" s="1031"/>
      <c r="AO45" s="1031"/>
      <c r="AP45" s="1031"/>
      <c r="AQ45" s="1031"/>
      <c r="AR45" s="1031"/>
      <c r="AS45" s="1031"/>
      <c r="AT45" s="1031"/>
      <c r="AU45" s="1031"/>
      <c r="AV45" s="1031"/>
      <c r="AW45" s="1032"/>
      <c r="AX45" s="662"/>
      <c r="AZ45" s="662"/>
      <c r="BA45" s="662"/>
    </row>
    <row r="46" spans="1:53" ht="31.5" x14ac:dyDescent="0.25">
      <c r="B46" s="604"/>
      <c r="C46" s="605" t="s">
        <v>2</v>
      </c>
      <c r="D46" s="606">
        <v>2230</v>
      </c>
      <c r="E46" s="606">
        <v>2788</v>
      </c>
      <c r="F46" s="606">
        <v>3485.45</v>
      </c>
      <c r="G46" s="607">
        <f>F46*10/100+F46</f>
        <v>3833.9949999999999</v>
      </c>
      <c r="H46" s="607">
        <f>F46*19/100+F46</f>
        <v>4147.6854999999996</v>
      </c>
      <c r="I46" s="607">
        <f>F46*23.2/100+F46</f>
        <v>4294.0743999999995</v>
      </c>
      <c r="J46" s="608">
        <f>F46*32.2/100+F46</f>
        <v>4607.7649000000001</v>
      </c>
      <c r="K46" s="608">
        <f>F46*45.7/100+F46</f>
        <v>5078.3006500000001</v>
      </c>
      <c r="L46" s="609">
        <f>K46*30/100+K46</f>
        <v>6601.7908449999995</v>
      </c>
      <c r="M46" s="609">
        <f>K46*45/100+K46</f>
        <v>7363.5359425000006</v>
      </c>
      <c r="N46" s="608">
        <f t="shared" si="10"/>
        <v>8468.0663338750001</v>
      </c>
      <c r="O46" s="608">
        <f t="shared" si="11"/>
        <v>9204.4199281250003</v>
      </c>
      <c r="P46" s="608">
        <f t="shared" si="12"/>
        <v>9940.7735223750005</v>
      </c>
      <c r="Q46" s="610">
        <f t="shared" si="41"/>
        <v>11621.132424453501</v>
      </c>
      <c r="R46" s="611">
        <f t="shared" si="43"/>
        <v>12783.245666898851</v>
      </c>
      <c r="S46" s="611">
        <f t="shared" si="13"/>
        <v>13945.358909344201</v>
      </c>
      <c r="T46" s="611">
        <f t="shared" si="42"/>
        <v>15107.47215178955</v>
      </c>
      <c r="U46" s="612">
        <f>Q46*15/100</f>
        <v>1743.1698636680251</v>
      </c>
      <c r="V46" s="612">
        <f>Q46*30/100</f>
        <v>3486.3397273360501</v>
      </c>
      <c r="W46" s="611">
        <f>Q46*60/100+Q46</f>
        <v>18593.811879125602</v>
      </c>
      <c r="X46" s="613">
        <f>Q46*10/100</f>
        <v>1162.1132424453501</v>
      </c>
      <c r="Y46" s="613">
        <f>Q46*20/100</f>
        <v>2324.2264848907002</v>
      </c>
      <c r="Z46" s="614">
        <f>Q46*39/100</f>
        <v>4532.2416455368648</v>
      </c>
      <c r="AA46" s="614">
        <f>Q46*9.8/100</f>
        <v>1138.870977596443</v>
      </c>
      <c r="AB46" s="615">
        <f>Q46*108.8/100+Q46</f>
        <v>24264.924502258909</v>
      </c>
      <c r="AC46" s="616">
        <f>AB46*11/100+AB46</f>
        <v>26934.066197507389</v>
      </c>
      <c r="AD46" s="617">
        <f>AB46*25/100+AB46</f>
        <v>30331.155627823638</v>
      </c>
      <c r="AE46" s="617">
        <v>30332</v>
      </c>
      <c r="AF46" s="617">
        <f>AB46*40/100+AB46</f>
        <v>33970.894303162473</v>
      </c>
      <c r="AG46" s="617">
        <f>AB46*52.5/100+AB46</f>
        <v>37004.009865944834</v>
      </c>
      <c r="AH46" s="617">
        <f>AB46*70/100+AB46</f>
        <v>41250.37165384015</v>
      </c>
      <c r="AI46" s="617">
        <f>AB46*93.1/100+AB46</f>
        <v>46855.569213861949</v>
      </c>
      <c r="AJ46" s="1045">
        <f>AB46*148.1/100+AB46</f>
        <v>60201.277690104354</v>
      </c>
      <c r="AK46" s="1045"/>
      <c r="AL46" s="618">
        <f>AB46*184.5/100+AB46</f>
        <v>69033.710208926597</v>
      </c>
      <c r="AM46" s="618">
        <f>AB46*197/100+AB46</f>
        <v>72066.825771708958</v>
      </c>
      <c r="AN46" s="619"/>
      <c r="AO46" s="619"/>
      <c r="AP46" s="643">
        <f>AB46*257.48/100+AB46</f>
        <v>86742.252110675152</v>
      </c>
      <c r="AQ46" s="645">
        <f>AP46*8.8/100+AP46</f>
        <v>94375.57029641456</v>
      </c>
      <c r="AR46" s="1062">
        <f>AP46*4.57/100+AQ46</f>
        <v>98339.691217872416</v>
      </c>
      <c r="AS46" s="1062"/>
      <c r="AT46" s="381">
        <f>AP46*13.37/100+AP46</f>
        <v>98339.691217872416</v>
      </c>
      <c r="AU46" s="866">
        <f>AP46*28.51/100+AP46</f>
        <v>111472.46818742863</v>
      </c>
      <c r="AV46" s="867"/>
      <c r="AW46" s="381">
        <f>AP46*32.51/100+AP46</f>
        <v>114942.15827185565</v>
      </c>
      <c r="AX46" s="160"/>
      <c r="AY46" s="308"/>
      <c r="AZ46" s="160"/>
      <c r="BA46" s="160"/>
    </row>
    <row r="47" spans="1:53" ht="15.75" x14ac:dyDescent="0.25">
      <c r="B47" s="604"/>
      <c r="C47" s="620" t="s">
        <v>3</v>
      </c>
      <c r="D47" s="621">
        <v>1405.2</v>
      </c>
      <c r="E47" s="621">
        <v>2115</v>
      </c>
      <c r="F47" s="621">
        <f>D47*55/100+D47</f>
        <v>2178.06</v>
      </c>
      <c r="G47" s="566">
        <f>F47*10/100+F47</f>
        <v>2395.866</v>
      </c>
      <c r="H47" s="566">
        <f>F47*19/100+F47</f>
        <v>2591.8914</v>
      </c>
      <c r="I47" s="566">
        <f>F47*23.2/100+F47</f>
        <v>2683.3699200000001</v>
      </c>
      <c r="J47" s="506">
        <f>F47*32.2/100+F47</f>
        <v>2879.3953200000001</v>
      </c>
      <c r="K47" s="506">
        <f>F47*45.7/100+F47</f>
        <v>3173.4334199999998</v>
      </c>
      <c r="L47" s="622">
        <f t="shared" ref="L47:L48" si="142">K47*30/100+K47</f>
        <v>4125.4634459999997</v>
      </c>
      <c r="M47" s="622">
        <f t="shared" ref="M47:M48" si="143">K47*45/100+K47</f>
        <v>4601.4784589999999</v>
      </c>
      <c r="N47" s="506">
        <f t="shared" si="10"/>
        <v>5291.7002278500004</v>
      </c>
      <c r="O47" s="506">
        <f t="shared" si="11"/>
        <v>5751.8480737499995</v>
      </c>
      <c r="P47" s="506">
        <f t="shared" si="12"/>
        <v>6211.9959196499995</v>
      </c>
      <c r="Q47" s="393">
        <f t="shared" si="41"/>
        <v>7262.0533039938</v>
      </c>
      <c r="R47" s="368">
        <f t="shared" si="43"/>
        <v>7988.2586343931798</v>
      </c>
      <c r="S47" s="368">
        <f t="shared" si="13"/>
        <v>8714.4639647925596</v>
      </c>
      <c r="T47" s="368">
        <f t="shared" si="42"/>
        <v>9440.6692951919395</v>
      </c>
      <c r="U47" s="369">
        <f t="shared" ref="U47:U48" si="144">Q47*15/100</f>
        <v>1089.30799559907</v>
      </c>
      <c r="V47" s="369">
        <f t="shared" ref="V47:V48" si="145">Q47*30/100</f>
        <v>2178.6159911981399</v>
      </c>
      <c r="W47" s="368">
        <f t="shared" ref="W47:W48" si="146">Q47*60/100+Q47</f>
        <v>11619.285286390081</v>
      </c>
      <c r="X47" s="370">
        <f t="shared" ref="X47:X48" si="147">Q47*10/100</f>
        <v>726.20533039938005</v>
      </c>
      <c r="Y47" s="370">
        <f t="shared" ref="Y47:Y48" si="148">Q47*20/100</f>
        <v>1452.4106607987601</v>
      </c>
      <c r="Z47" s="371">
        <f t="shared" ref="Z47:Z48" si="149">Q47*39/100</f>
        <v>2832.2007885575817</v>
      </c>
      <c r="AA47" s="371">
        <f>Q47*9.8/100</f>
        <v>711.68122379139243</v>
      </c>
      <c r="AB47" s="372">
        <f>Q47*108.8/100+Q47</f>
        <v>15163.167298739056</v>
      </c>
      <c r="AC47" s="623">
        <f t="shared" ref="AC47:AC49" si="150">AB47*11/100+AB47</f>
        <v>16831.115701600353</v>
      </c>
      <c r="AD47" s="375">
        <f t="shared" ref="AD47:AD49" si="151">AB47*25/100+AB47</f>
        <v>18953.959123423818</v>
      </c>
      <c r="AE47" s="375">
        <v>18958</v>
      </c>
      <c r="AF47" s="375">
        <f t="shared" ref="AF47:AF49" si="152">AB47*40/100+AB47</f>
        <v>21228.434218234677</v>
      </c>
      <c r="AG47" s="375">
        <f t="shared" ref="AG47:AG49" si="153">AB47*52.5/100+AB47</f>
        <v>23123.830130577058</v>
      </c>
      <c r="AH47" s="375">
        <f t="shared" ref="AH47:AH49" si="154">AB47*70/100+AB47</f>
        <v>25777.384407856392</v>
      </c>
      <c r="AI47" s="375">
        <f t="shared" ref="AI47:AI49" si="155">AB47*93.1/100+AB47</f>
        <v>29280.076053865116</v>
      </c>
      <c r="AJ47" s="873">
        <f t="shared" ref="AJ47:AJ49" si="156">AB47*148.1/100+AB47</f>
        <v>37619.818068171597</v>
      </c>
      <c r="AK47" s="873"/>
      <c r="AL47" s="624">
        <f t="shared" ref="AL47:AL49" si="157">AB47*184.5/100+AB47</f>
        <v>43139.210964912614</v>
      </c>
      <c r="AM47" s="624">
        <f t="shared" ref="AM47:AM49" si="158">AB47*197/100+AB47</f>
        <v>45034.606877254992</v>
      </c>
      <c r="AN47" s="625"/>
      <c r="AO47" s="625"/>
      <c r="AP47" s="643">
        <f t="shared" ref="AP47:AP49" si="159">AB47*257.48/100+AB47</f>
        <v>54205.290459532378</v>
      </c>
      <c r="AQ47" s="645">
        <f t="shared" ref="AQ47:AQ49" si="160">AP47*8.8/100+AP47</f>
        <v>58975.35601997123</v>
      </c>
      <c r="AR47" s="1062">
        <f t="shared" ref="AR47:AR49" si="161">AP47*4.57/100+AQ47</f>
        <v>61452.53779397186</v>
      </c>
      <c r="AS47" s="1062"/>
      <c r="AT47" s="381">
        <f t="shared" ref="AT47:AT49" si="162">AP47*13.37/100+AP47</f>
        <v>61452.53779397186</v>
      </c>
      <c r="AU47" s="866">
        <f t="shared" ref="AU47:AU49" si="163">AP47*28.51/100+AP47</f>
        <v>69659.218769545056</v>
      </c>
      <c r="AV47" s="867"/>
      <c r="AW47" s="646">
        <f t="shared" ref="AW47:AW49" si="164">AP47*32.51/100+AP47</f>
        <v>71827.430387926346</v>
      </c>
      <c r="AX47" s="160"/>
      <c r="AY47" s="308"/>
      <c r="AZ47" s="160"/>
      <c r="BA47" s="160"/>
    </row>
    <row r="48" spans="1:53" ht="31.5" x14ac:dyDescent="0.25">
      <c r="B48" s="604"/>
      <c r="C48" s="620" t="s">
        <v>4</v>
      </c>
      <c r="D48" s="621">
        <v>6906</v>
      </c>
      <c r="E48" s="621">
        <v>7995</v>
      </c>
      <c r="F48" s="621">
        <v>8851</v>
      </c>
      <c r="G48" s="566">
        <f>F48*10/100+F48</f>
        <v>9736.1</v>
      </c>
      <c r="H48" s="566">
        <f>F48*19/100+F48</f>
        <v>10532.69</v>
      </c>
      <c r="I48" s="566">
        <f>F48*23.2/100+F48</f>
        <v>10904.432000000001</v>
      </c>
      <c r="J48" s="506">
        <f>F48*32.2/100+F48</f>
        <v>11701.022000000001</v>
      </c>
      <c r="K48" s="506">
        <f>F48*45.7/100+F48</f>
        <v>12895.906999999999</v>
      </c>
      <c r="L48" s="622">
        <f t="shared" si="142"/>
        <v>16764.679099999998</v>
      </c>
      <c r="M48" s="622">
        <f t="shared" si="143"/>
        <v>18699.065149999999</v>
      </c>
      <c r="N48" s="506">
        <f t="shared" si="10"/>
        <v>21503.924922499999</v>
      </c>
      <c r="O48" s="506">
        <f t="shared" si="11"/>
        <v>23373.831437499997</v>
      </c>
      <c r="P48" s="506">
        <f t="shared" si="12"/>
        <v>25243.7379525</v>
      </c>
      <c r="Q48" s="393">
        <f t="shared" si="41"/>
        <v>29510.864619729997</v>
      </c>
      <c r="R48" s="368">
        <f t="shared" si="43"/>
        <v>32461.951081702995</v>
      </c>
      <c r="S48" s="368">
        <f t="shared" si="13"/>
        <v>35413.037543675993</v>
      </c>
      <c r="T48" s="368">
        <f t="shared" si="42"/>
        <v>38364.124005648999</v>
      </c>
      <c r="U48" s="369">
        <f t="shared" si="144"/>
        <v>4426.6296929595001</v>
      </c>
      <c r="V48" s="369">
        <f t="shared" si="145"/>
        <v>8853.2593859190001</v>
      </c>
      <c r="W48" s="368">
        <f t="shared" si="146"/>
        <v>47217.383391568001</v>
      </c>
      <c r="X48" s="370">
        <f t="shared" si="147"/>
        <v>2951.0864619729996</v>
      </c>
      <c r="Y48" s="370">
        <f t="shared" si="148"/>
        <v>5902.1729239459992</v>
      </c>
      <c r="Z48" s="371">
        <f t="shared" si="149"/>
        <v>11509.237201694699</v>
      </c>
      <c r="AA48" s="371">
        <f>Q48*9.8/100</f>
        <v>2892.06473273354</v>
      </c>
      <c r="AB48" s="372">
        <v>61620</v>
      </c>
      <c r="AC48" s="623">
        <f t="shared" si="150"/>
        <v>68398.2</v>
      </c>
      <c r="AD48" s="375">
        <f t="shared" si="151"/>
        <v>77025</v>
      </c>
      <c r="AE48" s="375">
        <f t="shared" si="22"/>
        <v>77025</v>
      </c>
      <c r="AF48" s="375">
        <f t="shared" si="152"/>
        <v>86268</v>
      </c>
      <c r="AG48" s="375">
        <f t="shared" si="153"/>
        <v>93970.5</v>
      </c>
      <c r="AH48" s="375">
        <f t="shared" si="154"/>
        <v>104754</v>
      </c>
      <c r="AI48" s="375">
        <f t="shared" si="155"/>
        <v>118988.22</v>
      </c>
      <c r="AJ48" s="873">
        <f t="shared" si="156"/>
        <v>152879.22</v>
      </c>
      <c r="AK48" s="873"/>
      <c r="AL48" s="624">
        <f t="shared" si="157"/>
        <v>175308.9</v>
      </c>
      <c r="AM48" s="624">
        <f t="shared" si="158"/>
        <v>183011.4</v>
      </c>
      <c r="AN48" s="625"/>
      <c r="AO48" s="625"/>
      <c r="AP48" s="643">
        <f t="shared" si="159"/>
        <v>220279.17600000001</v>
      </c>
      <c r="AQ48" s="645">
        <f t="shared" si="160"/>
        <v>239663.74348800001</v>
      </c>
      <c r="AR48" s="1062">
        <f t="shared" si="161"/>
        <v>249730.5018312</v>
      </c>
      <c r="AS48" s="1062"/>
      <c r="AT48" s="381">
        <f t="shared" si="162"/>
        <v>249730.5018312</v>
      </c>
      <c r="AU48" s="866">
        <f t="shared" si="163"/>
        <v>283080.76907759998</v>
      </c>
      <c r="AV48" s="867"/>
      <c r="AW48" s="646">
        <f t="shared" si="164"/>
        <v>291891.93611760001</v>
      </c>
      <c r="AX48" s="160"/>
      <c r="AY48" s="308"/>
      <c r="AZ48" s="160"/>
      <c r="BA48" s="160"/>
    </row>
    <row r="49" spans="2:53" ht="32.25" thickBot="1" x14ac:dyDescent="0.3">
      <c r="B49" s="604"/>
      <c r="C49" s="626" t="s">
        <v>253</v>
      </c>
      <c r="D49" s="542"/>
      <c r="E49" s="542"/>
      <c r="F49" s="542"/>
      <c r="G49" s="145"/>
      <c r="H49" s="145"/>
      <c r="I49" s="145"/>
      <c r="J49" s="543"/>
      <c r="K49" s="543"/>
      <c r="L49" s="544"/>
      <c r="M49" s="544"/>
      <c r="N49" s="543"/>
      <c r="O49" s="543"/>
      <c r="P49" s="543"/>
      <c r="Q49" s="545"/>
      <c r="R49" s="466"/>
      <c r="S49" s="466"/>
      <c r="T49" s="466"/>
      <c r="U49" s="546"/>
      <c r="V49" s="546"/>
      <c r="W49" s="466"/>
      <c r="X49" s="547"/>
      <c r="Y49" s="547"/>
      <c r="Z49" s="548"/>
      <c r="AA49" s="548"/>
      <c r="AB49" s="627">
        <v>11676</v>
      </c>
      <c r="AC49" s="628">
        <f t="shared" si="150"/>
        <v>12960.36</v>
      </c>
      <c r="AD49" s="424">
        <f t="shared" si="151"/>
        <v>14595</v>
      </c>
      <c r="AE49" s="424">
        <f>AB49*25/100+AB49</f>
        <v>14595</v>
      </c>
      <c r="AF49" s="424">
        <f t="shared" si="152"/>
        <v>16346.4</v>
      </c>
      <c r="AG49" s="424">
        <f t="shared" si="153"/>
        <v>17805.900000000001</v>
      </c>
      <c r="AH49" s="424">
        <f t="shared" si="154"/>
        <v>19849.2</v>
      </c>
      <c r="AI49" s="424">
        <f t="shared" si="155"/>
        <v>22546.356</v>
      </c>
      <c r="AJ49" s="1044">
        <f t="shared" si="156"/>
        <v>28968.155999999999</v>
      </c>
      <c r="AK49" s="1044"/>
      <c r="AL49" s="629">
        <f t="shared" si="157"/>
        <v>33218.22</v>
      </c>
      <c r="AM49" s="629">
        <f t="shared" si="158"/>
        <v>34677.72</v>
      </c>
      <c r="AN49" s="630"/>
      <c r="AO49" s="630"/>
      <c r="AP49" s="643">
        <f t="shared" si="159"/>
        <v>41739.364799999996</v>
      </c>
      <c r="AQ49" s="645">
        <f t="shared" si="160"/>
        <v>45412.428902399995</v>
      </c>
      <c r="AR49" s="1062">
        <f t="shared" si="161"/>
        <v>47319.917873759994</v>
      </c>
      <c r="AS49" s="1062"/>
      <c r="AT49" s="381">
        <f t="shared" si="162"/>
        <v>47319.917873759994</v>
      </c>
      <c r="AU49" s="866">
        <f t="shared" si="163"/>
        <v>53639.257704479998</v>
      </c>
      <c r="AV49" s="867"/>
      <c r="AW49" s="646">
        <f t="shared" si="164"/>
        <v>55308.832296479995</v>
      </c>
      <c r="AX49" s="160"/>
      <c r="AY49" s="308"/>
      <c r="AZ49" s="160"/>
      <c r="BA49" s="160"/>
    </row>
    <row r="50" spans="2:53" ht="15.75" thickBot="1" x14ac:dyDescent="0.3">
      <c r="N50" s="185"/>
      <c r="AB50" s="631" t="s">
        <v>271</v>
      </c>
    </row>
    <row r="51" spans="2:53" x14ac:dyDescent="0.25">
      <c r="B51" s="426"/>
      <c r="C51" s="1085" t="s">
        <v>150</v>
      </c>
      <c r="D51" s="1086"/>
      <c r="E51" s="1086"/>
      <c r="F51" s="1086"/>
      <c r="G51" s="1086"/>
      <c r="H51" s="1086"/>
      <c r="I51" s="1087"/>
      <c r="J51" s="426"/>
      <c r="K51" s="426"/>
      <c r="L51" s="632"/>
      <c r="M51" s="632"/>
      <c r="N51" s="632"/>
      <c r="O51" s="632"/>
      <c r="P51" s="632"/>
      <c r="Q51" s="633"/>
      <c r="R51" s="634"/>
      <c r="S51" s="635"/>
      <c r="T51" s="634"/>
      <c r="U51" s="185"/>
      <c r="V51" s="185"/>
      <c r="W51" s="185"/>
      <c r="AD51" s="636"/>
      <c r="AE51" s="636"/>
      <c r="AO51" s="637"/>
    </row>
    <row r="52" spans="2:53" ht="15.75" thickBot="1" x14ac:dyDescent="0.3">
      <c r="B52" s="426"/>
      <c r="C52" s="1088" t="s">
        <v>149</v>
      </c>
      <c r="D52" s="1089"/>
      <c r="E52" s="1089"/>
      <c r="F52" s="1089"/>
      <c r="G52" s="1089"/>
      <c r="H52" s="1089"/>
      <c r="I52" s="1090"/>
      <c r="J52" s="426"/>
      <c r="K52" s="426"/>
      <c r="L52" s="632"/>
      <c r="M52" s="632"/>
      <c r="N52" s="632"/>
      <c r="O52" s="632"/>
      <c r="P52" s="632"/>
      <c r="Q52" s="634"/>
      <c r="R52" s="185"/>
      <c r="S52" s="185"/>
      <c r="T52" s="185"/>
      <c r="U52" s="185"/>
      <c r="V52" s="185"/>
      <c r="W52" s="185"/>
    </row>
    <row r="53" spans="2:53" ht="15.75" thickBot="1" x14ac:dyDescent="0.3">
      <c r="B53" s="426"/>
      <c r="C53" s="426"/>
      <c r="D53" s="426"/>
      <c r="E53" s="426"/>
      <c r="F53" s="426"/>
      <c r="G53" s="426"/>
      <c r="H53" s="426"/>
      <c r="I53" s="426"/>
      <c r="J53" s="426"/>
      <c r="K53" s="426"/>
      <c r="L53" s="634"/>
      <c r="M53" s="185"/>
      <c r="N53" s="185"/>
      <c r="O53" s="185"/>
      <c r="P53" s="185"/>
      <c r="Q53" s="185"/>
      <c r="R53" s="185"/>
      <c r="S53" s="185"/>
      <c r="T53" s="185"/>
      <c r="U53" s="185"/>
      <c r="V53" s="185"/>
      <c r="W53" s="185"/>
    </row>
    <row r="54" spans="2:53" ht="21.75" thickBot="1" x14ac:dyDescent="0.3">
      <c r="C54" s="1082" t="s">
        <v>81</v>
      </c>
      <c r="D54" s="1083"/>
      <c r="E54" s="1084"/>
      <c r="F54" s="1076" t="s">
        <v>81</v>
      </c>
      <c r="G54" s="1077"/>
      <c r="H54" s="1078"/>
      <c r="I54" s="1042" t="s">
        <v>81</v>
      </c>
      <c r="J54" s="1043"/>
      <c r="K54" s="1043"/>
      <c r="L54" s="1043"/>
      <c r="M54" s="1046" t="s">
        <v>81</v>
      </c>
      <c r="N54" s="1047"/>
      <c r="O54" s="1047"/>
      <c r="P54" s="1047"/>
      <c r="Q54" s="1047"/>
      <c r="R54" s="1047"/>
      <c r="S54" s="1047"/>
      <c r="T54" s="1048"/>
      <c r="U54" s="1049" t="s">
        <v>288</v>
      </c>
      <c r="V54" s="1056" t="s">
        <v>297</v>
      </c>
      <c r="W54" s="1057"/>
      <c r="X54" s="1057"/>
      <c r="Y54" s="1057"/>
      <c r="Z54" s="1057"/>
      <c r="AA54" s="1057"/>
    </row>
    <row r="55" spans="2:53" ht="15.75" thickBot="1" x14ac:dyDescent="0.3">
      <c r="C55" s="282" t="s">
        <v>82</v>
      </c>
      <c r="D55" s="283">
        <v>2019</v>
      </c>
      <c r="E55" s="284">
        <v>2020</v>
      </c>
      <c r="F55" s="1079">
        <v>2021</v>
      </c>
      <c r="G55" s="1080"/>
      <c r="H55" s="1081"/>
      <c r="I55" s="1006">
        <v>2022</v>
      </c>
      <c r="J55" s="1007"/>
      <c r="K55" s="1007"/>
      <c r="L55" s="1007"/>
      <c r="M55" s="1051">
        <v>2023</v>
      </c>
      <c r="N55" s="1052"/>
      <c r="O55" s="1052"/>
      <c r="P55" s="1052"/>
      <c r="Q55" s="1052"/>
      <c r="R55" s="1052"/>
      <c r="S55" s="1052"/>
      <c r="T55" s="1053"/>
      <c r="U55" s="1050"/>
      <c r="V55" s="1058">
        <v>2024</v>
      </c>
      <c r="W55" s="1059"/>
      <c r="X55" s="1059"/>
      <c r="Y55" s="1059"/>
      <c r="Z55" s="1059"/>
      <c r="AA55" s="1059"/>
    </row>
    <row r="56" spans="2:53" x14ac:dyDescent="0.25">
      <c r="C56" s="153" t="s">
        <v>83</v>
      </c>
      <c r="D56" s="154"/>
      <c r="E56" s="155"/>
      <c r="F56" s="285">
        <v>44378</v>
      </c>
      <c r="G56" s="286">
        <v>44774</v>
      </c>
      <c r="H56" s="343" t="s">
        <v>86</v>
      </c>
      <c r="I56" s="156">
        <v>44774</v>
      </c>
      <c r="J56" s="157">
        <v>44927</v>
      </c>
      <c r="K56" s="158">
        <v>45047</v>
      </c>
      <c r="L56" s="638" t="s">
        <v>236</v>
      </c>
      <c r="M56" s="322">
        <v>45047</v>
      </c>
      <c r="N56" s="344">
        <v>45139</v>
      </c>
      <c r="O56" s="344">
        <v>45231</v>
      </c>
      <c r="P56" s="344">
        <v>45261</v>
      </c>
      <c r="Q56" s="1041">
        <v>45292</v>
      </c>
      <c r="R56" s="1041"/>
      <c r="S56" s="344">
        <v>45323</v>
      </c>
      <c r="T56" s="323">
        <v>45383</v>
      </c>
      <c r="U56" s="1054">
        <v>478309</v>
      </c>
      <c r="V56" s="639" t="s">
        <v>298</v>
      </c>
      <c r="W56" s="640" t="s">
        <v>305</v>
      </c>
      <c r="X56" s="640" t="s">
        <v>340</v>
      </c>
      <c r="Y56" s="640"/>
      <c r="Z56" s="640"/>
      <c r="AA56" s="640"/>
    </row>
    <row r="57" spans="2:53" ht="15.75" thickBot="1" x14ac:dyDescent="0.3">
      <c r="C57" s="144" t="s">
        <v>84</v>
      </c>
      <c r="D57" s="145">
        <v>28000</v>
      </c>
      <c r="E57" s="146">
        <v>40600</v>
      </c>
      <c r="F57" s="287">
        <v>54800</v>
      </c>
      <c r="G57" s="288">
        <v>9267</v>
      </c>
      <c r="H57" s="289">
        <f>F57+G57</f>
        <v>64067</v>
      </c>
      <c r="I57" s="147">
        <f>(H57*30/100+H57)</f>
        <v>83287.100000000006</v>
      </c>
      <c r="J57" s="145">
        <f>H57*50/100</f>
        <v>32033.5</v>
      </c>
      <c r="K57" s="159">
        <f>H57*28.8/100</f>
        <v>18451.296000000002</v>
      </c>
      <c r="L57" s="182">
        <f>I57+J57+K57</f>
        <v>133771.89600000001</v>
      </c>
      <c r="M57" s="324">
        <f>L57*25/100+L57</f>
        <v>167214.87</v>
      </c>
      <c r="N57" s="326">
        <f>L57*82.5/100</f>
        <v>110361.81419999999</v>
      </c>
      <c r="O57" s="327">
        <f>L57*15/100</f>
        <v>20065.7844</v>
      </c>
      <c r="P57" s="327">
        <f>L57*13.1/100</f>
        <v>17524.118375999999</v>
      </c>
      <c r="Q57" s="1091">
        <f>L57*40/100</f>
        <v>53508.758399999999</v>
      </c>
      <c r="R57" s="1092"/>
      <c r="S57" s="327">
        <f>L57*36.4/100</f>
        <v>48692.970143999999</v>
      </c>
      <c r="T57" s="325">
        <f>L57*45.48/100</f>
        <v>60839.458300799997</v>
      </c>
      <c r="U57" s="1055"/>
      <c r="V57" s="641">
        <f>U56*8.8/100+U56</f>
        <v>520400.19199999998</v>
      </c>
      <c r="W57" s="376">
        <f>U56*4.57/100</f>
        <v>21858.721300000005</v>
      </c>
      <c r="X57" s="376">
        <v>72414</v>
      </c>
      <c r="Y57" s="640"/>
      <c r="Z57" s="640"/>
      <c r="AA57" s="640"/>
    </row>
    <row r="58" spans="2:53" x14ac:dyDescent="0.25">
      <c r="Q58" s="1063"/>
      <c r="R58" s="1063"/>
      <c r="U58" s="642"/>
    </row>
    <row r="59" spans="2:53" ht="15.75" thickBot="1" x14ac:dyDescent="0.3">
      <c r="Q59" s="185"/>
      <c r="R59" s="635"/>
      <c r="U59" s="642"/>
    </row>
    <row r="60" spans="2:53" ht="16.5" thickBot="1" x14ac:dyDescent="0.3">
      <c r="C60" s="1070" t="s">
        <v>88</v>
      </c>
      <c r="D60" s="1071"/>
      <c r="E60" s="1071"/>
      <c r="F60" s="1071"/>
      <c r="G60" s="1071"/>
      <c r="H60" s="1071"/>
      <c r="I60" s="1071"/>
      <c r="J60" s="1071"/>
      <c r="K60" s="1071"/>
      <c r="L60" s="1071"/>
      <c r="M60" s="1071"/>
      <c r="N60" s="1071"/>
      <c r="O60" s="1071"/>
      <c r="P60" s="1072"/>
      <c r="R60" s="642"/>
    </row>
    <row r="61" spans="2:53" ht="16.5" thickBot="1" x14ac:dyDescent="0.3">
      <c r="C61" s="1073" t="s">
        <v>85</v>
      </c>
      <c r="D61" s="1074"/>
      <c r="E61" s="1074"/>
      <c r="F61" s="1074"/>
      <c r="G61" s="1074"/>
      <c r="H61" s="1074"/>
      <c r="I61" s="1074"/>
      <c r="J61" s="1074"/>
      <c r="K61" s="1074"/>
      <c r="L61" s="1074"/>
      <c r="M61" s="1074"/>
      <c r="N61" s="1074"/>
      <c r="O61" s="1074"/>
      <c r="P61" s="1075"/>
    </row>
    <row r="62" spans="2:53" ht="15" customHeight="1" x14ac:dyDescent="0.25">
      <c r="C62" s="1064" t="s">
        <v>87</v>
      </c>
      <c r="D62" s="1065"/>
      <c r="E62" s="1065"/>
      <c r="F62" s="1065"/>
      <c r="G62" s="1065"/>
      <c r="H62" s="1065"/>
      <c r="I62" s="1065"/>
      <c r="J62" s="1065"/>
      <c r="K62" s="1065"/>
      <c r="L62" s="1065"/>
      <c r="M62" s="1065"/>
      <c r="N62" s="1065"/>
      <c r="O62" s="1065"/>
      <c r="P62" s="1066"/>
    </row>
    <row r="63" spans="2:53" ht="15" customHeight="1" thickBot="1" x14ac:dyDescent="0.3">
      <c r="C63" s="1067"/>
      <c r="D63" s="1068"/>
      <c r="E63" s="1068"/>
      <c r="F63" s="1068"/>
      <c r="G63" s="1068"/>
      <c r="H63" s="1068"/>
      <c r="I63" s="1068"/>
      <c r="J63" s="1068"/>
      <c r="K63" s="1068"/>
      <c r="L63" s="1068"/>
      <c r="M63" s="1068"/>
      <c r="N63" s="1068"/>
      <c r="O63" s="1068"/>
      <c r="P63" s="1069"/>
    </row>
    <row r="64" spans="2:53" ht="15.75" customHeight="1" x14ac:dyDescent="0.25"/>
  </sheetData>
  <mergeCells count="146">
    <mergeCell ref="Q58:R58"/>
    <mergeCell ref="C62:P63"/>
    <mergeCell ref="C60:P60"/>
    <mergeCell ref="C61:P61"/>
    <mergeCell ref="F54:H54"/>
    <mergeCell ref="F55:H55"/>
    <mergeCell ref="C54:E54"/>
    <mergeCell ref="C51:I51"/>
    <mergeCell ref="C52:I52"/>
    <mergeCell ref="Q57:R57"/>
    <mergeCell ref="C42:D42"/>
    <mergeCell ref="C45:AW45"/>
    <mergeCell ref="C43:AW43"/>
    <mergeCell ref="AJ44:AK44"/>
    <mergeCell ref="C44:F44"/>
    <mergeCell ref="Q56:R56"/>
    <mergeCell ref="I54:L54"/>
    <mergeCell ref="I55:L55"/>
    <mergeCell ref="AJ49:AK49"/>
    <mergeCell ref="AJ48:AK48"/>
    <mergeCell ref="AJ47:AK47"/>
    <mergeCell ref="AJ46:AK46"/>
    <mergeCell ref="M54:T54"/>
    <mergeCell ref="U54:U55"/>
    <mergeCell ref="M55:T55"/>
    <mergeCell ref="U56:U57"/>
    <mergeCell ref="V54:AA54"/>
    <mergeCell ref="V55:AA55"/>
    <mergeCell ref="AR44:AS44"/>
    <mergeCell ref="AR49:AS49"/>
    <mergeCell ref="AR48:AS48"/>
    <mergeCell ref="AR47:AS47"/>
    <mergeCell ref="AR46:AS46"/>
    <mergeCell ref="L39:M39"/>
    <mergeCell ref="G36:K36"/>
    <mergeCell ref="D36:F36"/>
    <mergeCell ref="L36:M36"/>
    <mergeCell ref="N36:Q36"/>
    <mergeCell ref="R36:AB36"/>
    <mergeCell ref="AC36:AO36"/>
    <mergeCell ref="E39:F39"/>
    <mergeCell ref="C39:D40"/>
    <mergeCell ref="G39:K39"/>
    <mergeCell ref="R39:AB39"/>
    <mergeCell ref="N39:Q39"/>
    <mergeCell ref="AC39:AO39"/>
    <mergeCell ref="AC33:AO33"/>
    <mergeCell ref="R29:AB29"/>
    <mergeCell ref="N29:Q29"/>
    <mergeCell ref="L29:M29"/>
    <mergeCell ref="D29:F29"/>
    <mergeCell ref="G29:K29"/>
    <mergeCell ref="G33:K33"/>
    <mergeCell ref="L33:M33"/>
    <mergeCell ref="D33:F33"/>
    <mergeCell ref="C2:C4"/>
    <mergeCell ref="D2:F2"/>
    <mergeCell ref="AI4:AI5"/>
    <mergeCell ref="AC29:AO29"/>
    <mergeCell ref="I4:I5"/>
    <mergeCell ref="L21:M21"/>
    <mergeCell ref="L14:M14"/>
    <mergeCell ref="AB4:AB5"/>
    <mergeCell ref="K4:K5"/>
    <mergeCell ref="L4:L5"/>
    <mergeCell ref="AJ4:AJ5"/>
    <mergeCell ref="AH4:AH5"/>
    <mergeCell ref="AG4:AG5"/>
    <mergeCell ref="R14:AB14"/>
    <mergeCell ref="AC4:AC5"/>
    <mergeCell ref="AA4:AA5"/>
    <mergeCell ref="L3:M3"/>
    <mergeCell ref="N3:Q3"/>
    <mergeCell ref="O4:O5"/>
    <mergeCell ref="AO4:AO5"/>
    <mergeCell ref="AN4:AN5"/>
    <mergeCell ref="AC14:AO14"/>
    <mergeCell ref="C41:D41"/>
    <mergeCell ref="AC21:AO21"/>
    <mergeCell ref="P4:P5"/>
    <mergeCell ref="X4:X5"/>
    <mergeCell ref="Y4:Y5"/>
    <mergeCell ref="Z4:Z5"/>
    <mergeCell ref="R4:R5"/>
    <mergeCell ref="AM4:AM5"/>
    <mergeCell ref="AK4:AK5"/>
    <mergeCell ref="U4:U5"/>
    <mergeCell ref="V4:V5"/>
    <mergeCell ref="W4:W5"/>
    <mergeCell ref="AL4:AL5"/>
    <mergeCell ref="S4:S5"/>
    <mergeCell ref="T4:T5"/>
    <mergeCell ref="Q4:Q5"/>
    <mergeCell ref="R21:AB21"/>
    <mergeCell ref="N14:Q14"/>
    <mergeCell ref="D21:F21"/>
    <mergeCell ref="G14:K14"/>
    <mergeCell ref="G21:K21"/>
    <mergeCell ref="AC2:AO2"/>
    <mergeCell ref="C13:AW13"/>
    <mergeCell ref="AP14:AW14"/>
    <mergeCell ref="AP21:AW21"/>
    <mergeCell ref="C28:AW28"/>
    <mergeCell ref="AP29:AW29"/>
    <mergeCell ref="AP33:AW33"/>
    <mergeCell ref="N2:Q2"/>
    <mergeCell ref="L2:M2"/>
    <mergeCell ref="G3:K3"/>
    <mergeCell ref="G2:K2"/>
    <mergeCell ref="R2:AB2"/>
    <mergeCell ref="AC3:AO3"/>
    <mergeCell ref="R33:AB33"/>
    <mergeCell ref="N33:Q33"/>
    <mergeCell ref="AP4:AP5"/>
    <mergeCell ref="N21:Q21"/>
    <mergeCell ref="N4:N5"/>
    <mergeCell ref="M4:M5"/>
    <mergeCell ref="G4:G5"/>
    <mergeCell ref="J4:J5"/>
    <mergeCell ref="H4:H5"/>
    <mergeCell ref="AW4:AW5"/>
    <mergeCell ref="AV4:AV5"/>
    <mergeCell ref="BA4:BA5"/>
    <mergeCell ref="AZ4:AZ5"/>
    <mergeCell ref="AY4:AY5"/>
    <mergeCell ref="AX4:AX5"/>
    <mergeCell ref="AP2:BA2"/>
    <mergeCell ref="AP3:BA3"/>
    <mergeCell ref="AU49:AV49"/>
    <mergeCell ref="AU48:AV48"/>
    <mergeCell ref="AU47:AV47"/>
    <mergeCell ref="AU46:AV46"/>
    <mergeCell ref="AP36:AW36"/>
    <mergeCell ref="C38:AW38"/>
    <mergeCell ref="AP39:AW39"/>
    <mergeCell ref="AU4:AU5"/>
    <mergeCell ref="AT4:AT5"/>
    <mergeCell ref="AS4:AS5"/>
    <mergeCell ref="AR4:AR5"/>
    <mergeCell ref="AQ4:AQ5"/>
    <mergeCell ref="D14:F14"/>
    <mergeCell ref="D3:F4"/>
    <mergeCell ref="R3:AB3"/>
    <mergeCell ref="AF4:AF5"/>
    <mergeCell ref="AD4:AD5"/>
    <mergeCell ref="AE4:AE5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8"/>
  <sheetViews>
    <sheetView topLeftCell="AO1" zoomScaleNormal="100" workbookViewId="0">
      <selection sqref="A1:XFD1048576"/>
    </sheetView>
  </sheetViews>
  <sheetFormatPr baseColWidth="10" defaultRowHeight="15" x14ac:dyDescent="0.25"/>
  <cols>
    <col min="1" max="1" width="16.42578125" style="183" customWidth="1"/>
    <col min="2" max="2" width="18.85546875" style="183" customWidth="1"/>
    <col min="3" max="3" width="15.28515625" style="183" customWidth="1"/>
    <col min="4" max="4" width="14.140625" style="183" customWidth="1"/>
    <col min="5" max="5" width="15" style="183" customWidth="1"/>
    <col min="6" max="6" width="11.85546875" style="183" bestFit="1" customWidth="1"/>
    <col min="7" max="7" width="17" style="183" customWidth="1"/>
    <col min="8" max="8" width="11.85546875" style="183" bestFit="1" customWidth="1"/>
    <col min="9" max="9" width="15.7109375" style="183" customWidth="1"/>
    <col min="10" max="10" width="11.7109375" style="183" bestFit="1" customWidth="1"/>
    <col min="11" max="11" width="13" style="183" customWidth="1"/>
    <col min="12" max="12" width="13.7109375" style="183" customWidth="1"/>
    <col min="13" max="15" width="12.5703125" style="183" bestFit="1" customWidth="1"/>
    <col min="16" max="16" width="13.5703125" style="183" customWidth="1"/>
    <col min="17" max="19" width="12.5703125" style="183" bestFit="1" customWidth="1"/>
    <col min="20" max="21" width="11.42578125" style="183"/>
    <col min="22" max="22" width="18.42578125" style="183" customWidth="1"/>
    <col min="23" max="24" width="11.42578125" style="183"/>
    <col min="25" max="26" width="13.85546875" style="183" customWidth="1"/>
    <col min="27" max="27" width="11.140625" style="183" bestFit="1" customWidth="1"/>
    <col min="28" max="28" width="15.7109375" style="183" customWidth="1"/>
    <col min="29" max="29" width="15.140625" style="183" customWidth="1"/>
    <col min="30" max="30" width="15.7109375" style="183" customWidth="1"/>
    <col min="31" max="38" width="11.42578125" style="183"/>
    <col min="39" max="39" width="17" style="183" customWidth="1"/>
    <col min="40" max="40" width="11.42578125" style="183"/>
    <col min="41" max="41" width="13.5703125" style="183" customWidth="1"/>
    <col min="42" max="42" width="11.42578125" style="183"/>
    <col min="43" max="43" width="12.85546875" style="183" customWidth="1"/>
    <col min="44" max="44" width="11.42578125" style="183"/>
    <col min="45" max="45" width="13.5703125" style="183" customWidth="1"/>
    <col min="46" max="46" width="11.42578125" style="183"/>
    <col min="47" max="47" width="15.7109375" style="658" customWidth="1"/>
    <col min="48" max="49" width="11.42578125" style="183"/>
    <col min="50" max="50" width="11.42578125" style="661"/>
    <col min="51" max="51" width="11.42578125" style="637"/>
    <col min="52" max="16384" width="11.42578125" style="183"/>
  </cols>
  <sheetData>
    <row r="1" spans="1:55" ht="35.1" customHeight="1" thickBot="1" x14ac:dyDescent="0.3">
      <c r="A1" s="1119" t="s">
        <v>5</v>
      </c>
      <c r="B1" s="1120"/>
      <c r="C1" s="1120"/>
      <c r="D1" s="1121"/>
      <c r="E1" s="97" t="s">
        <v>127</v>
      </c>
      <c r="F1" s="1130" t="s">
        <v>126</v>
      </c>
      <c r="G1" s="1131"/>
      <c r="H1" s="1131"/>
      <c r="I1" s="1131"/>
      <c r="J1" s="1132"/>
      <c r="K1" s="1148" t="s">
        <v>126</v>
      </c>
      <c r="L1" s="1149"/>
      <c r="M1" s="1130" t="s">
        <v>126</v>
      </c>
      <c r="N1" s="1131"/>
      <c r="O1" s="1131"/>
      <c r="P1" s="1132"/>
      <c r="Q1" s="1154" t="s">
        <v>126</v>
      </c>
      <c r="R1" s="1155"/>
      <c r="S1" s="1155"/>
      <c r="T1" s="1155"/>
      <c r="U1" s="1155"/>
      <c r="V1" s="1155"/>
      <c r="W1" s="1155"/>
      <c r="X1" s="1155"/>
      <c r="Y1" s="1155"/>
      <c r="Z1" s="1155"/>
      <c r="AA1" s="1155"/>
      <c r="AB1" s="1173" t="s">
        <v>126</v>
      </c>
      <c r="AC1" s="1174"/>
      <c r="AD1" s="1174"/>
      <c r="AE1" s="1174"/>
      <c r="AF1" s="1174"/>
      <c r="AG1" s="1174"/>
      <c r="AH1" s="1174"/>
      <c r="AI1" s="1174"/>
      <c r="AJ1" s="1174"/>
      <c r="AK1" s="1174"/>
      <c r="AL1" s="1174"/>
      <c r="AM1" s="1174"/>
      <c r="AN1" s="1174"/>
      <c r="AO1" s="1099" t="s">
        <v>126</v>
      </c>
      <c r="AP1" s="1100"/>
      <c r="AQ1" s="1100"/>
      <c r="AR1" s="1100"/>
      <c r="AS1" s="1100"/>
      <c r="AT1" s="1100"/>
      <c r="AU1" s="1100"/>
      <c r="AV1" s="1100"/>
      <c r="AW1" s="1100"/>
      <c r="AX1" s="1100"/>
      <c r="AY1" s="1100"/>
      <c r="AZ1" s="1100"/>
      <c r="BA1" s="1101"/>
    </row>
    <row r="2" spans="1:55" ht="15" customHeight="1" x14ac:dyDescent="0.25">
      <c r="A2" s="1122"/>
      <c r="B2" s="1123"/>
      <c r="C2" s="1123"/>
      <c r="D2" s="1124"/>
      <c r="E2" s="1156" t="s">
        <v>101</v>
      </c>
      <c r="F2" s="1159" t="s">
        <v>99</v>
      </c>
      <c r="G2" s="1160"/>
      <c r="H2" s="1160"/>
      <c r="I2" s="1160"/>
      <c r="J2" s="1161"/>
      <c r="K2" s="1133" t="s">
        <v>97</v>
      </c>
      <c r="L2" s="1134"/>
      <c r="M2" s="1139" t="s">
        <v>100</v>
      </c>
      <c r="N2" s="1140"/>
      <c r="O2" s="1140"/>
      <c r="P2" s="1141"/>
      <c r="Q2" s="1150" t="s">
        <v>90</v>
      </c>
      <c r="R2" s="1151"/>
      <c r="S2" s="1151"/>
      <c r="T2" s="1151"/>
      <c r="U2" s="1151"/>
      <c r="V2" s="1151"/>
      <c r="W2" s="1151"/>
      <c r="X2" s="1151"/>
      <c r="Y2" s="1151"/>
      <c r="Z2" s="1151"/>
      <c r="AA2" s="1151"/>
      <c r="AB2" s="1113" t="s">
        <v>244</v>
      </c>
      <c r="AC2" s="1114"/>
      <c r="AD2" s="1114"/>
      <c r="AE2" s="1114"/>
      <c r="AF2" s="1114"/>
      <c r="AG2" s="1114"/>
      <c r="AH2" s="1114"/>
      <c r="AI2" s="1114"/>
      <c r="AJ2" s="1114"/>
      <c r="AK2" s="1114"/>
      <c r="AL2" s="1114"/>
      <c r="AM2" s="1114"/>
      <c r="AN2" s="1114"/>
      <c r="AO2" s="1102" t="s">
        <v>290</v>
      </c>
      <c r="AP2" s="1103"/>
      <c r="AQ2" s="1103"/>
      <c r="AR2" s="1103"/>
      <c r="AS2" s="1103"/>
      <c r="AT2" s="1103"/>
      <c r="AU2" s="1103"/>
      <c r="AV2" s="1103"/>
      <c r="AW2" s="1103"/>
      <c r="AX2" s="1103"/>
      <c r="AY2" s="1103"/>
      <c r="AZ2" s="1103"/>
      <c r="BA2" s="1104"/>
    </row>
    <row r="3" spans="1:55" ht="15" customHeight="1" x14ac:dyDescent="0.25">
      <c r="A3" s="1122"/>
      <c r="B3" s="1123"/>
      <c r="C3" s="1123"/>
      <c r="D3" s="1124"/>
      <c r="E3" s="1157"/>
      <c r="F3" s="1162"/>
      <c r="G3" s="1163"/>
      <c r="H3" s="1163"/>
      <c r="I3" s="1163"/>
      <c r="J3" s="1164"/>
      <c r="K3" s="1135"/>
      <c r="L3" s="1136"/>
      <c r="M3" s="1142"/>
      <c r="N3" s="1143"/>
      <c r="O3" s="1143"/>
      <c r="P3" s="1144"/>
      <c r="Q3" s="1152"/>
      <c r="R3" s="1153"/>
      <c r="S3" s="1153"/>
      <c r="T3" s="1153"/>
      <c r="U3" s="1153"/>
      <c r="V3" s="1153"/>
      <c r="W3" s="1153"/>
      <c r="X3" s="1153"/>
      <c r="Y3" s="1153"/>
      <c r="Z3" s="1153"/>
      <c r="AA3" s="1153"/>
      <c r="AB3" s="1115"/>
      <c r="AC3" s="1116"/>
      <c r="AD3" s="1116"/>
      <c r="AE3" s="1116"/>
      <c r="AF3" s="1116"/>
      <c r="AG3" s="1116"/>
      <c r="AH3" s="1116"/>
      <c r="AI3" s="1116"/>
      <c r="AJ3" s="1116"/>
      <c r="AK3" s="1116"/>
      <c r="AL3" s="1116"/>
      <c r="AM3" s="1116"/>
      <c r="AN3" s="1116"/>
      <c r="AO3" s="1105"/>
      <c r="AP3" s="1106"/>
      <c r="AQ3" s="1106"/>
      <c r="AR3" s="1106"/>
      <c r="AS3" s="1106"/>
      <c r="AT3" s="1106"/>
      <c r="AU3" s="1106"/>
      <c r="AV3" s="1106"/>
      <c r="AW3" s="1106"/>
      <c r="AX3" s="1106"/>
      <c r="AY3" s="1106"/>
      <c r="AZ3" s="1106"/>
      <c r="BA3" s="1107"/>
    </row>
    <row r="4" spans="1:55" ht="15.75" customHeight="1" thickBot="1" x14ac:dyDescent="0.3">
      <c r="A4" s="1125"/>
      <c r="B4" s="1126"/>
      <c r="C4" s="1126"/>
      <c r="D4" s="1127"/>
      <c r="E4" s="1158"/>
      <c r="F4" s="1165"/>
      <c r="G4" s="1166"/>
      <c r="H4" s="1166"/>
      <c r="I4" s="1166"/>
      <c r="J4" s="1167"/>
      <c r="K4" s="1137"/>
      <c r="L4" s="1138"/>
      <c r="M4" s="1145"/>
      <c r="N4" s="1146"/>
      <c r="O4" s="1146"/>
      <c r="P4" s="1147"/>
      <c r="Q4" s="1152"/>
      <c r="R4" s="1153"/>
      <c r="S4" s="1153"/>
      <c r="T4" s="1153"/>
      <c r="U4" s="1153"/>
      <c r="V4" s="1153"/>
      <c r="W4" s="1153"/>
      <c r="X4" s="1153"/>
      <c r="Y4" s="1153"/>
      <c r="Z4" s="1153"/>
      <c r="AA4" s="1153"/>
      <c r="AB4" s="1117"/>
      <c r="AC4" s="1118"/>
      <c r="AD4" s="1118"/>
      <c r="AE4" s="1118"/>
      <c r="AF4" s="1118"/>
      <c r="AG4" s="1118"/>
      <c r="AH4" s="1118"/>
      <c r="AI4" s="1118"/>
      <c r="AJ4" s="1118"/>
      <c r="AK4" s="1118"/>
      <c r="AL4" s="1118"/>
      <c r="AM4" s="1118"/>
      <c r="AN4" s="1118"/>
      <c r="AO4" s="1108"/>
      <c r="AP4" s="1109"/>
      <c r="AQ4" s="1109"/>
      <c r="AR4" s="1109"/>
      <c r="AS4" s="1109"/>
      <c r="AT4" s="1109"/>
      <c r="AU4" s="1109"/>
      <c r="AV4" s="1109"/>
      <c r="AW4" s="1109"/>
      <c r="AX4" s="1109"/>
      <c r="AY4" s="1109"/>
      <c r="AZ4" s="1109"/>
      <c r="BA4" s="1110"/>
    </row>
    <row r="5" spans="1:55" ht="48" customHeight="1" thickBot="1" x14ac:dyDescent="0.3">
      <c r="A5" s="180" t="s">
        <v>0</v>
      </c>
      <c r="B5" s="105" t="s">
        <v>6</v>
      </c>
      <c r="C5" s="180" t="s">
        <v>7</v>
      </c>
      <c r="D5" s="106" t="s">
        <v>8</v>
      </c>
      <c r="E5" s="99" t="s">
        <v>9</v>
      </c>
      <c r="F5" s="30" t="s">
        <v>10</v>
      </c>
      <c r="G5" s="98" t="s">
        <v>116</v>
      </c>
      <c r="H5" s="98" t="s">
        <v>117</v>
      </c>
      <c r="I5" s="98" t="s">
        <v>118</v>
      </c>
      <c r="J5" s="100" t="s">
        <v>119</v>
      </c>
      <c r="K5" s="101" t="s">
        <v>75</v>
      </c>
      <c r="L5" s="102" t="s">
        <v>115</v>
      </c>
      <c r="M5" s="103" t="s">
        <v>95</v>
      </c>
      <c r="N5" s="104" t="s">
        <v>170</v>
      </c>
      <c r="O5" s="104" t="s">
        <v>120</v>
      </c>
      <c r="P5" s="125" t="s">
        <v>121</v>
      </c>
      <c r="Q5" s="126" t="s">
        <v>91</v>
      </c>
      <c r="R5" s="127" t="s">
        <v>122</v>
      </c>
      <c r="S5" s="127" t="s">
        <v>92</v>
      </c>
      <c r="T5" s="135" t="s">
        <v>219</v>
      </c>
      <c r="U5" s="135" t="s">
        <v>258</v>
      </c>
      <c r="V5" s="134" t="s">
        <v>259</v>
      </c>
      <c r="W5" s="135" t="s">
        <v>221</v>
      </c>
      <c r="X5" s="135" t="s">
        <v>232</v>
      </c>
      <c r="Y5" s="148" t="s">
        <v>233</v>
      </c>
      <c r="Z5" s="174" t="s">
        <v>242</v>
      </c>
      <c r="AA5" s="176" t="s">
        <v>240</v>
      </c>
      <c r="AB5" s="238" t="s">
        <v>245</v>
      </c>
      <c r="AC5" s="239" t="s">
        <v>246</v>
      </c>
      <c r="AD5" s="166" t="s">
        <v>247</v>
      </c>
      <c r="AE5" s="239" t="s">
        <v>262</v>
      </c>
      <c r="AF5" s="239" t="s">
        <v>268</v>
      </c>
      <c r="AG5" s="239" t="s">
        <v>269</v>
      </c>
      <c r="AH5" s="239" t="s">
        <v>274</v>
      </c>
      <c r="AI5" s="272" t="s">
        <v>272</v>
      </c>
      <c r="AJ5" s="239" t="s">
        <v>278</v>
      </c>
      <c r="AK5" s="239" t="s">
        <v>283</v>
      </c>
      <c r="AL5" s="239" t="s">
        <v>282</v>
      </c>
      <c r="AM5" s="302" t="s">
        <v>294</v>
      </c>
      <c r="AN5" s="302" t="s">
        <v>291</v>
      </c>
      <c r="AO5" s="648" t="s">
        <v>296</v>
      </c>
      <c r="AP5" s="346" t="s">
        <v>299</v>
      </c>
      <c r="AQ5" s="649" t="s">
        <v>307</v>
      </c>
      <c r="AR5" s="346" t="s">
        <v>308</v>
      </c>
      <c r="AS5" s="650" t="s">
        <v>321</v>
      </c>
      <c r="AT5" s="651" t="s">
        <v>322</v>
      </c>
      <c r="AU5" s="672" t="s">
        <v>339</v>
      </c>
      <c r="AV5" s="1095" t="s">
        <v>317</v>
      </c>
      <c r="AW5" s="1096"/>
      <c r="AX5" s="652" t="s">
        <v>318</v>
      </c>
      <c r="AY5" s="653" t="s">
        <v>324</v>
      </c>
      <c r="AZ5" s="652" t="s">
        <v>326</v>
      </c>
      <c r="BA5" s="652" t="s">
        <v>327</v>
      </c>
      <c r="BB5" s="184"/>
      <c r="BC5" s="185"/>
    </row>
    <row r="6" spans="1:55" s="199" customFormat="1" ht="24.95" customHeight="1" x14ac:dyDescent="0.25">
      <c r="A6" s="1168" t="s">
        <v>200</v>
      </c>
      <c r="B6" s="1183"/>
      <c r="C6" s="115" t="s">
        <v>194</v>
      </c>
      <c r="D6" s="107">
        <v>26834</v>
      </c>
      <c r="E6" s="58">
        <v>29709</v>
      </c>
      <c r="F6" s="66">
        <f>(E6*10)/100+E6</f>
        <v>32679.9</v>
      </c>
      <c r="G6" s="21">
        <f>(E6*9)/100+F6</f>
        <v>35353.71</v>
      </c>
      <c r="H6" s="21">
        <f>(E6*4.2)/100+G6</f>
        <v>36601.487999999998</v>
      </c>
      <c r="I6" s="21">
        <f>(E6*9)/100+H6</f>
        <v>39275.297999999995</v>
      </c>
      <c r="J6" s="67">
        <f>(E6*13.5)/100+I6</f>
        <v>43286.012999999992</v>
      </c>
      <c r="K6" s="186">
        <f t="shared" ref="K6:K12" si="0">J6*0.3+J6</f>
        <v>56271.816899999991</v>
      </c>
      <c r="L6" s="187">
        <f t="shared" ref="L6:L12" si="1">J6*45/100+J6</f>
        <v>62764.71884999999</v>
      </c>
      <c r="M6" s="188">
        <f t="shared" ref="M6:M12" si="2">L6*15/100+L6</f>
        <v>72179.426677499985</v>
      </c>
      <c r="N6" s="189">
        <f t="shared" ref="N6:N12" si="3">L6*25/100+L6</f>
        <v>78455.898562499991</v>
      </c>
      <c r="O6" s="189">
        <f t="shared" ref="O6:O12" si="4">L6*35/100+L6</f>
        <v>84732.370447499983</v>
      </c>
      <c r="P6" s="190">
        <f t="shared" ref="P6:P12" si="5">(L6*57.82)/100+L6</f>
        <v>99055.279289069993</v>
      </c>
      <c r="Q6" s="186">
        <f t="shared" ref="Q6:Q12" si="6">(P6*10)/100+P6</f>
        <v>108960.807217977</v>
      </c>
      <c r="R6" s="191">
        <f t="shared" ref="R6:R12" si="7">(P6*20)/100+P6</f>
        <v>118866.335146884</v>
      </c>
      <c r="S6" s="191">
        <f t="shared" ref="S6:S12" si="8">(P6*30)/100+P6</f>
        <v>128771.86307579099</v>
      </c>
      <c r="T6" s="192">
        <f>P6*15/100</f>
        <v>14858.291893360498</v>
      </c>
      <c r="U6" s="192">
        <f>P6*30/100</f>
        <v>29716.583786720996</v>
      </c>
      <c r="V6" s="193">
        <f>P6*60/100+P6</f>
        <v>158488.44686251198</v>
      </c>
      <c r="W6" s="192">
        <f>P6*10/100</f>
        <v>9905.5279289069986</v>
      </c>
      <c r="X6" s="192">
        <f>P6*20/100</f>
        <v>19811.055857813997</v>
      </c>
      <c r="Y6" s="194">
        <f>P6*39/100</f>
        <v>38631.558922737298</v>
      </c>
      <c r="Z6" s="194">
        <f t="shared" ref="Z6:Z21" si="9">P6*9.8/100</f>
        <v>9707.4173703288598</v>
      </c>
      <c r="AA6" s="195">
        <f t="shared" ref="AA6:AA21" si="10">P6*108.8/100+P6</f>
        <v>206827.42315557814</v>
      </c>
      <c r="AB6" s="196">
        <f>AA6*11/100</f>
        <v>22751.016547113595</v>
      </c>
      <c r="AC6" s="197">
        <f>AA6*25/100</f>
        <v>51706.855788894536</v>
      </c>
      <c r="AD6" s="198">
        <f>AA6*25/100+AA6</f>
        <v>258534.27894447267</v>
      </c>
      <c r="AE6" s="197">
        <f>AA6*15/100</f>
        <v>31024.113473336722</v>
      </c>
      <c r="AF6" s="197">
        <f>AA6*27.5/100</f>
        <v>56877.541367783997</v>
      </c>
      <c r="AG6" s="197">
        <f>AA6*45/100</f>
        <v>93072.340420010165</v>
      </c>
      <c r="AH6" s="197">
        <f>AA6*68.1/100</f>
        <v>140849.4751689487</v>
      </c>
      <c r="AI6" s="198">
        <f>AA6*93.1/100+AA6</f>
        <v>399383.75411342143</v>
      </c>
      <c r="AJ6" s="197">
        <f>AA6*55/100</f>
        <v>113755.08273556799</v>
      </c>
      <c r="AK6" s="197">
        <f>AA6*91.4/100</f>
        <v>189040.26476419845</v>
      </c>
      <c r="AL6" s="197">
        <f>AA6*103.9/100</f>
        <v>214893.69265864568</v>
      </c>
      <c r="AM6" s="303">
        <f>AA6*15.7/100</f>
        <v>32471.905435425764</v>
      </c>
      <c r="AN6" s="303">
        <f>AA6*25.05/100</f>
        <v>51810.269500472321</v>
      </c>
      <c r="AO6" s="333">
        <f>AA6*257.48/100+AA6</f>
        <v>739366.67229656084</v>
      </c>
      <c r="AP6" s="208">
        <f>AO6*8.8/100</f>
        <v>65064.267162097356</v>
      </c>
      <c r="AQ6" s="337">
        <f>AO6*8.8/100+AO6</f>
        <v>804430.93945865822</v>
      </c>
      <c r="AR6" s="339">
        <f>AO6*4.57/100</f>
        <v>33789.056923952834</v>
      </c>
      <c r="AS6" s="347">
        <f>AO6*13.37/100+AO6</f>
        <v>838219.99638261099</v>
      </c>
      <c r="AT6" s="339">
        <f>AO6*9.96/100</f>
        <v>73640.920560737461</v>
      </c>
      <c r="AU6" s="673">
        <f>AO6*28.51/100+AO6</f>
        <v>950160.11056831037</v>
      </c>
      <c r="AV6" s="1093">
        <f>AO6*4/100</f>
        <v>29574.666891862435</v>
      </c>
      <c r="AW6" s="1094"/>
      <c r="AX6" s="294"/>
      <c r="AY6" s="654"/>
      <c r="AZ6" s="294"/>
      <c r="BA6" s="294"/>
      <c r="BB6" s="184"/>
      <c r="BC6" s="200"/>
    </row>
    <row r="7" spans="1:55" s="199" customFormat="1" ht="24.95" customHeight="1" x14ac:dyDescent="0.25">
      <c r="A7" s="1169"/>
      <c r="B7" s="1184"/>
      <c r="C7" s="116" t="s">
        <v>12</v>
      </c>
      <c r="D7" s="108">
        <v>36226</v>
      </c>
      <c r="E7" s="59">
        <v>40107</v>
      </c>
      <c r="F7" s="68">
        <f t="shared" ref="F7:F12" si="11">(E7*10)/100+E7</f>
        <v>44117.7</v>
      </c>
      <c r="G7" s="22">
        <f t="shared" ref="G7:G12" si="12">(E7*9)/100+F7</f>
        <v>47727.329999999994</v>
      </c>
      <c r="H7" s="22">
        <f t="shared" ref="H7:H12" si="13">(E7*4.2)/100+G7</f>
        <v>49411.823999999993</v>
      </c>
      <c r="I7" s="22">
        <f t="shared" ref="I7:I12" si="14">(E7*9)/100+H7</f>
        <v>53021.453999999991</v>
      </c>
      <c r="J7" s="69">
        <f t="shared" ref="J7:J12" si="15">(E7*13.5)/100+I7</f>
        <v>58435.89899999999</v>
      </c>
      <c r="K7" s="201">
        <f t="shared" si="0"/>
        <v>75966.66869999998</v>
      </c>
      <c r="L7" s="202">
        <f t="shared" si="1"/>
        <v>84732.053549999982</v>
      </c>
      <c r="M7" s="203">
        <f t="shared" si="2"/>
        <v>97441.861582499987</v>
      </c>
      <c r="N7" s="204">
        <f t="shared" si="3"/>
        <v>105915.06693749997</v>
      </c>
      <c r="O7" s="204">
        <f t="shared" si="4"/>
        <v>114388.27229249998</v>
      </c>
      <c r="P7" s="205">
        <f t="shared" si="5"/>
        <v>133724.12691260997</v>
      </c>
      <c r="Q7" s="201">
        <f t="shared" si="6"/>
        <v>147096.53960387097</v>
      </c>
      <c r="R7" s="137">
        <f t="shared" si="7"/>
        <v>160468.95229513195</v>
      </c>
      <c r="S7" s="137">
        <f t="shared" si="8"/>
        <v>173841.36498639296</v>
      </c>
      <c r="T7" s="206">
        <f t="shared" ref="T7:T21" si="16">P7*15/100</f>
        <v>20058.619036891494</v>
      </c>
      <c r="U7" s="206">
        <f t="shared" ref="U7:U21" si="17">P7*30/100</f>
        <v>40117.238073782988</v>
      </c>
      <c r="V7" s="207">
        <f t="shared" ref="V7:V21" si="18">P7*60/100+P7</f>
        <v>213958.60306017596</v>
      </c>
      <c r="W7" s="206">
        <f t="shared" ref="W7:W21" si="19">P7*10/100</f>
        <v>13372.412691260995</v>
      </c>
      <c r="X7" s="206">
        <f t="shared" ref="X7:X21" si="20">P7*20/100</f>
        <v>26744.825382521991</v>
      </c>
      <c r="Y7" s="208">
        <f t="shared" ref="Y7:Y21" si="21">P7*39/100</f>
        <v>52152.409495917884</v>
      </c>
      <c r="Z7" s="208">
        <f t="shared" si="9"/>
        <v>13104.964437435778</v>
      </c>
      <c r="AA7" s="209">
        <f t="shared" si="10"/>
        <v>279215.97699352959</v>
      </c>
      <c r="AB7" s="196">
        <f t="shared" ref="AB7:AB21" si="22">AA7*11/100</f>
        <v>30713.757469288255</v>
      </c>
      <c r="AC7" s="197">
        <f t="shared" ref="AC7:AC21" si="23">AA7*25/100</f>
        <v>69803.994248382398</v>
      </c>
      <c r="AD7" s="198">
        <f t="shared" ref="AD7:AD27" si="24">AA7*25/100+AA7</f>
        <v>349019.97124191199</v>
      </c>
      <c r="AE7" s="197">
        <f t="shared" ref="AE7:AE21" si="25">AA7*15/100</f>
        <v>41882.396549029436</v>
      </c>
      <c r="AF7" s="197">
        <f t="shared" ref="AF7:AF21" si="26">AA7*27.5/100</f>
        <v>76784.393673220635</v>
      </c>
      <c r="AG7" s="197">
        <f t="shared" ref="AG7:AG21" si="27">AA7*45/100</f>
        <v>125647.18964708831</v>
      </c>
      <c r="AH7" s="197">
        <f t="shared" ref="AH7:AH21" si="28">AA7*68.1/100</f>
        <v>190146.08033259361</v>
      </c>
      <c r="AI7" s="198">
        <f t="shared" ref="AI7:AI21" si="29">AA7*93.1/100+AA7</f>
        <v>539166.05157450563</v>
      </c>
      <c r="AJ7" s="197">
        <f t="shared" ref="AJ7:AJ21" si="30">AA7*55/100</f>
        <v>153568.78734644127</v>
      </c>
      <c r="AK7" s="197">
        <f t="shared" ref="AK7:AK21" si="31">AA7*91.4/100</f>
        <v>255203.40297208607</v>
      </c>
      <c r="AL7" s="197">
        <f t="shared" ref="AL7:AL21" si="32">AA7*103.9/100</f>
        <v>290105.40009627724</v>
      </c>
      <c r="AM7" s="303">
        <f t="shared" ref="AM7:AM21" si="33">AA7*15.7/100</f>
        <v>43836.908387984142</v>
      </c>
      <c r="AN7" s="303">
        <f t="shared" ref="AN7:AN21" si="34">AA7*25.05/100</f>
        <v>69943.60223687916</v>
      </c>
      <c r="AO7" s="333">
        <f>AA7*257.48/100+AA7</f>
        <v>998141.27455646952</v>
      </c>
      <c r="AP7" s="208">
        <f t="shared" ref="AP7:AP21" si="35">AO7*8.8/100</f>
        <v>87836.432160969314</v>
      </c>
      <c r="AQ7" s="337">
        <f t="shared" ref="AQ7:AQ21" si="36">AO7*8.8/100+AO7</f>
        <v>1085977.7067174388</v>
      </c>
      <c r="AR7" s="339">
        <f t="shared" ref="AR7:AR21" si="37">AO7*4.57/100</f>
        <v>45615.056247230656</v>
      </c>
      <c r="AS7" s="347">
        <f t="shared" ref="AS7:AS21" si="38">AO7*13.37/100+AO7</f>
        <v>1131592.7629646694</v>
      </c>
      <c r="AT7" s="339">
        <f t="shared" ref="AT7:AT21" si="39">AO7*9.96/100</f>
        <v>99414.870945824368</v>
      </c>
      <c r="AU7" s="673">
        <f t="shared" ref="AU7:AU21" si="40">AO7*28.51/100+AO7</f>
        <v>1282711.3519325191</v>
      </c>
      <c r="AV7" s="1093">
        <f t="shared" ref="AV7:AV21" si="41">AO7*4/100</f>
        <v>39925.650982258783</v>
      </c>
      <c r="AW7" s="1094"/>
      <c r="AX7" s="660"/>
      <c r="AY7" s="655"/>
      <c r="AZ7" s="647"/>
      <c r="BA7" s="647"/>
    </row>
    <row r="8" spans="1:55" s="199" customFormat="1" ht="24.95" customHeight="1" x14ac:dyDescent="0.25">
      <c r="A8" s="1169"/>
      <c r="B8" s="1184"/>
      <c r="C8" s="117" t="s">
        <v>13</v>
      </c>
      <c r="D8" s="108">
        <v>33276</v>
      </c>
      <c r="E8" s="59">
        <v>36841</v>
      </c>
      <c r="F8" s="68">
        <f t="shared" si="11"/>
        <v>40525.1</v>
      </c>
      <c r="G8" s="22">
        <f t="shared" si="12"/>
        <v>43840.79</v>
      </c>
      <c r="H8" s="22">
        <f t="shared" si="13"/>
        <v>45388.112000000001</v>
      </c>
      <c r="I8" s="22">
        <f t="shared" si="14"/>
        <v>48703.802000000003</v>
      </c>
      <c r="J8" s="69">
        <f t="shared" si="15"/>
        <v>53677.337</v>
      </c>
      <c r="K8" s="201">
        <f t="shared" si="0"/>
        <v>69780.538100000005</v>
      </c>
      <c r="L8" s="202">
        <f t="shared" si="1"/>
        <v>77832.138650000008</v>
      </c>
      <c r="M8" s="203">
        <f t="shared" si="2"/>
        <v>89506.959447500005</v>
      </c>
      <c r="N8" s="204">
        <f t="shared" si="3"/>
        <v>97290.173312500003</v>
      </c>
      <c r="O8" s="204">
        <f t="shared" si="4"/>
        <v>105073.3871775</v>
      </c>
      <c r="P8" s="205">
        <f t="shared" si="5"/>
        <v>122834.68121743001</v>
      </c>
      <c r="Q8" s="201">
        <f t="shared" si="6"/>
        <v>135118.14933917302</v>
      </c>
      <c r="R8" s="137">
        <f t="shared" si="7"/>
        <v>147401.61746091602</v>
      </c>
      <c r="S8" s="137">
        <f t="shared" si="8"/>
        <v>159685.08558265903</v>
      </c>
      <c r="T8" s="206">
        <f t="shared" si="16"/>
        <v>18425.202182614503</v>
      </c>
      <c r="U8" s="206">
        <f t="shared" si="17"/>
        <v>36850.404365229006</v>
      </c>
      <c r="V8" s="207">
        <f t="shared" si="18"/>
        <v>196535.48994788801</v>
      </c>
      <c r="W8" s="206">
        <f t="shared" si="19"/>
        <v>12283.468121743002</v>
      </c>
      <c r="X8" s="206">
        <f t="shared" si="20"/>
        <v>24566.936243486005</v>
      </c>
      <c r="Y8" s="208">
        <f t="shared" si="21"/>
        <v>47905.525674797704</v>
      </c>
      <c r="Z8" s="208">
        <f t="shared" si="9"/>
        <v>12037.798759308143</v>
      </c>
      <c r="AA8" s="209">
        <f t="shared" si="10"/>
        <v>256478.81438199387</v>
      </c>
      <c r="AB8" s="196">
        <f t="shared" si="22"/>
        <v>28212.669582019327</v>
      </c>
      <c r="AC8" s="197">
        <f t="shared" si="23"/>
        <v>64119.703595498468</v>
      </c>
      <c r="AD8" s="198">
        <f t="shared" si="24"/>
        <v>320598.51797749236</v>
      </c>
      <c r="AE8" s="197">
        <f t="shared" si="25"/>
        <v>38471.822157299081</v>
      </c>
      <c r="AF8" s="197">
        <f t="shared" si="26"/>
        <v>70531.673955048318</v>
      </c>
      <c r="AG8" s="197">
        <f t="shared" si="27"/>
        <v>115415.46647189723</v>
      </c>
      <c r="AH8" s="197">
        <f t="shared" si="28"/>
        <v>174662.07259413783</v>
      </c>
      <c r="AI8" s="198">
        <f t="shared" si="29"/>
        <v>495260.59057163016</v>
      </c>
      <c r="AJ8" s="197">
        <f t="shared" si="30"/>
        <v>141063.34791009664</v>
      </c>
      <c r="AK8" s="197">
        <f t="shared" si="31"/>
        <v>234421.63634514241</v>
      </c>
      <c r="AL8" s="197">
        <f t="shared" si="32"/>
        <v>266481.48814289161</v>
      </c>
      <c r="AM8" s="303">
        <f t="shared" si="33"/>
        <v>40267.173857973037</v>
      </c>
      <c r="AN8" s="303">
        <f t="shared" si="34"/>
        <v>64247.943002689462</v>
      </c>
      <c r="AO8" s="333">
        <f t="shared" ref="AO8:AO21" si="42">AA8*257.48/100+AA8</f>
        <v>916860.46565275174</v>
      </c>
      <c r="AP8" s="208">
        <f t="shared" si="35"/>
        <v>80683.720977442164</v>
      </c>
      <c r="AQ8" s="337">
        <f t="shared" si="36"/>
        <v>997544.18663019384</v>
      </c>
      <c r="AR8" s="339">
        <f t="shared" si="37"/>
        <v>41900.523280330759</v>
      </c>
      <c r="AS8" s="347">
        <f t="shared" si="38"/>
        <v>1039444.7099105247</v>
      </c>
      <c r="AT8" s="339">
        <f t="shared" si="39"/>
        <v>91319.302379014087</v>
      </c>
      <c r="AU8" s="673">
        <f t="shared" si="40"/>
        <v>1178257.3844103513</v>
      </c>
      <c r="AV8" s="1093">
        <f t="shared" si="41"/>
        <v>36674.418626110069</v>
      </c>
      <c r="AW8" s="1094"/>
      <c r="AX8" s="660"/>
      <c r="AY8" s="655"/>
      <c r="AZ8" s="647"/>
      <c r="BA8" s="647"/>
    </row>
    <row r="9" spans="1:55" s="199" customFormat="1" ht="24.95" customHeight="1" thickBot="1" x14ac:dyDescent="0.3">
      <c r="A9" s="1170"/>
      <c r="B9" s="1185"/>
      <c r="C9" s="118" t="s">
        <v>173</v>
      </c>
      <c r="D9" s="109"/>
      <c r="E9" s="60"/>
      <c r="F9" s="70"/>
      <c r="G9" s="23"/>
      <c r="H9" s="23"/>
      <c r="I9" s="23"/>
      <c r="J9" s="71"/>
      <c r="K9" s="210"/>
      <c r="L9" s="211"/>
      <c r="M9" s="212"/>
      <c r="N9" s="213"/>
      <c r="O9" s="213"/>
      <c r="P9" s="214"/>
      <c r="Q9" s="201"/>
      <c r="R9" s="137"/>
      <c r="S9" s="137"/>
      <c r="T9" s="206"/>
      <c r="U9" s="206"/>
      <c r="V9" s="207"/>
      <c r="W9" s="206"/>
      <c r="X9" s="206">
        <f t="shared" si="20"/>
        <v>0</v>
      </c>
      <c r="Y9" s="208">
        <f t="shared" si="21"/>
        <v>0</v>
      </c>
      <c r="Z9" s="208">
        <f t="shared" si="9"/>
        <v>0</v>
      </c>
      <c r="AA9" s="209">
        <f t="shared" si="10"/>
        <v>0</v>
      </c>
      <c r="AB9" s="196">
        <f t="shared" si="22"/>
        <v>0</v>
      </c>
      <c r="AC9" s="197">
        <f t="shared" si="23"/>
        <v>0</v>
      </c>
      <c r="AD9" s="198">
        <f t="shared" si="24"/>
        <v>0</v>
      </c>
      <c r="AE9" s="197">
        <f t="shared" si="25"/>
        <v>0</v>
      </c>
      <c r="AF9" s="197">
        <f t="shared" si="26"/>
        <v>0</v>
      </c>
      <c r="AG9" s="197">
        <f t="shared" si="27"/>
        <v>0</v>
      </c>
      <c r="AH9" s="197">
        <f t="shared" si="28"/>
        <v>0</v>
      </c>
      <c r="AI9" s="198">
        <f t="shared" si="29"/>
        <v>0</v>
      </c>
      <c r="AJ9" s="197">
        <f t="shared" si="30"/>
        <v>0</v>
      </c>
      <c r="AK9" s="197">
        <f t="shared" si="31"/>
        <v>0</v>
      </c>
      <c r="AL9" s="197">
        <f t="shared" si="32"/>
        <v>0</v>
      </c>
      <c r="AM9" s="303">
        <f t="shared" si="33"/>
        <v>0</v>
      </c>
      <c r="AN9" s="303">
        <f t="shared" si="34"/>
        <v>0</v>
      </c>
      <c r="AO9" s="333">
        <f t="shared" si="42"/>
        <v>0</v>
      </c>
      <c r="AP9" s="208">
        <f t="shared" si="35"/>
        <v>0</v>
      </c>
      <c r="AQ9" s="337">
        <f t="shared" si="36"/>
        <v>0</v>
      </c>
      <c r="AR9" s="339">
        <f t="shared" si="37"/>
        <v>0</v>
      </c>
      <c r="AS9" s="347">
        <f t="shared" si="38"/>
        <v>0</v>
      </c>
      <c r="AT9" s="339">
        <f t="shared" si="39"/>
        <v>0</v>
      </c>
      <c r="AU9" s="673">
        <f t="shared" si="40"/>
        <v>0</v>
      </c>
      <c r="AV9" s="1093">
        <f t="shared" si="41"/>
        <v>0</v>
      </c>
      <c r="AW9" s="1094"/>
      <c r="AX9" s="660"/>
      <c r="AY9" s="655"/>
      <c r="AZ9" s="647"/>
      <c r="BA9" s="647"/>
    </row>
    <row r="10" spans="1:55" s="199" customFormat="1" ht="24.95" customHeight="1" x14ac:dyDescent="0.25">
      <c r="A10" s="1171" t="s">
        <v>201</v>
      </c>
      <c r="B10" s="1128" t="s">
        <v>193</v>
      </c>
      <c r="C10" s="115" t="s">
        <v>194</v>
      </c>
      <c r="D10" s="107">
        <v>28709</v>
      </c>
      <c r="E10" s="58">
        <v>31785</v>
      </c>
      <c r="F10" s="66">
        <f t="shared" si="11"/>
        <v>34963.5</v>
      </c>
      <c r="G10" s="21">
        <f t="shared" si="12"/>
        <v>37824.15</v>
      </c>
      <c r="H10" s="21">
        <f t="shared" si="13"/>
        <v>39159.120000000003</v>
      </c>
      <c r="I10" s="21">
        <f t="shared" si="14"/>
        <v>42019.770000000004</v>
      </c>
      <c r="J10" s="67">
        <f t="shared" si="15"/>
        <v>46310.745000000003</v>
      </c>
      <c r="K10" s="186">
        <f t="shared" si="0"/>
        <v>60203.968500000003</v>
      </c>
      <c r="L10" s="187">
        <f t="shared" si="1"/>
        <v>67150.580249999999</v>
      </c>
      <c r="M10" s="188">
        <f t="shared" si="2"/>
        <v>77223.167287499993</v>
      </c>
      <c r="N10" s="189">
        <f t="shared" si="3"/>
        <v>83938.225312499999</v>
      </c>
      <c r="O10" s="189">
        <f t="shared" si="4"/>
        <v>90653.283337500005</v>
      </c>
      <c r="P10" s="190">
        <f t="shared" si="5"/>
        <v>105977.04575054999</v>
      </c>
      <c r="Q10" s="201">
        <f t="shared" si="6"/>
        <v>116574.750325605</v>
      </c>
      <c r="R10" s="137">
        <f t="shared" si="7"/>
        <v>127172.45490066</v>
      </c>
      <c r="S10" s="137">
        <f t="shared" si="8"/>
        <v>137770.15947571499</v>
      </c>
      <c r="T10" s="206">
        <f t="shared" si="16"/>
        <v>15896.5568625825</v>
      </c>
      <c r="U10" s="206">
        <f t="shared" si="17"/>
        <v>31793.113725165</v>
      </c>
      <c r="V10" s="207">
        <f t="shared" si="18"/>
        <v>169563.27320087998</v>
      </c>
      <c r="W10" s="206">
        <f t="shared" si="19"/>
        <v>10597.704575054999</v>
      </c>
      <c r="X10" s="206">
        <f t="shared" si="20"/>
        <v>21195.409150109997</v>
      </c>
      <c r="Y10" s="208">
        <f t="shared" si="21"/>
        <v>41331.047842714499</v>
      </c>
      <c r="Z10" s="208">
        <f t="shared" si="9"/>
        <v>10385.7504835539</v>
      </c>
      <c r="AA10" s="209">
        <f t="shared" si="10"/>
        <v>221280.07152714839</v>
      </c>
      <c r="AB10" s="196">
        <f t="shared" si="22"/>
        <v>24340.807867986321</v>
      </c>
      <c r="AC10" s="197">
        <f t="shared" si="23"/>
        <v>55320.017881787106</v>
      </c>
      <c r="AD10" s="198">
        <f t="shared" si="24"/>
        <v>276600.08940893551</v>
      </c>
      <c r="AE10" s="197">
        <f t="shared" si="25"/>
        <v>33192.010729072259</v>
      </c>
      <c r="AF10" s="197">
        <f t="shared" si="26"/>
        <v>60852.019669965804</v>
      </c>
      <c r="AG10" s="197">
        <f t="shared" si="27"/>
        <v>99576.032187216784</v>
      </c>
      <c r="AH10" s="197">
        <f t="shared" si="28"/>
        <v>150691.72870998803</v>
      </c>
      <c r="AI10" s="198">
        <f t="shared" si="29"/>
        <v>427291.81811892358</v>
      </c>
      <c r="AJ10" s="197">
        <f t="shared" si="30"/>
        <v>121704.03933993161</v>
      </c>
      <c r="AK10" s="197">
        <f t="shared" si="31"/>
        <v>202249.98537581365</v>
      </c>
      <c r="AL10" s="197">
        <f t="shared" si="32"/>
        <v>229909.99431670719</v>
      </c>
      <c r="AM10" s="303">
        <f t="shared" si="33"/>
        <v>34740.971229762297</v>
      </c>
      <c r="AN10" s="303">
        <f t="shared" si="34"/>
        <v>55430.65791755067</v>
      </c>
      <c r="AO10" s="333">
        <f t="shared" si="42"/>
        <v>791031.99969525007</v>
      </c>
      <c r="AP10" s="208">
        <f t="shared" si="35"/>
        <v>69610.81597318202</v>
      </c>
      <c r="AQ10" s="337">
        <f t="shared" si="36"/>
        <v>860642.81566843204</v>
      </c>
      <c r="AR10" s="339">
        <f t="shared" si="37"/>
        <v>36150.162386072931</v>
      </c>
      <c r="AS10" s="347">
        <f t="shared" si="38"/>
        <v>896792.97805450496</v>
      </c>
      <c r="AT10" s="339">
        <f t="shared" si="39"/>
        <v>78786.787169646908</v>
      </c>
      <c r="AU10" s="673">
        <f t="shared" si="40"/>
        <v>1016555.2228083658</v>
      </c>
      <c r="AV10" s="1093">
        <f t="shared" si="41"/>
        <v>31641.279987810001</v>
      </c>
      <c r="AW10" s="1094"/>
      <c r="AX10" s="660"/>
      <c r="AY10" s="655"/>
      <c r="AZ10" s="647"/>
      <c r="BA10" s="647"/>
    </row>
    <row r="11" spans="1:55" s="199" customFormat="1" ht="35.1" customHeight="1" thickBot="1" x14ac:dyDescent="0.3">
      <c r="A11" s="1172"/>
      <c r="B11" s="1129"/>
      <c r="C11" s="119" t="s">
        <v>195</v>
      </c>
      <c r="D11" s="109">
        <f>(D10*13)/100</f>
        <v>3732.17</v>
      </c>
      <c r="E11" s="60">
        <f t="shared" ref="E11:S11" si="43">(E10*13)/100</f>
        <v>4132.05</v>
      </c>
      <c r="F11" s="70">
        <f t="shared" si="43"/>
        <v>4545.2550000000001</v>
      </c>
      <c r="G11" s="23">
        <f t="shared" si="43"/>
        <v>4917.1395000000002</v>
      </c>
      <c r="H11" s="23">
        <f t="shared" si="43"/>
        <v>5090.6856000000007</v>
      </c>
      <c r="I11" s="23">
        <f t="shared" si="43"/>
        <v>5462.5700999999999</v>
      </c>
      <c r="J11" s="53">
        <f t="shared" si="43"/>
        <v>6020.396850000001</v>
      </c>
      <c r="K11" s="78">
        <f t="shared" si="43"/>
        <v>7826.5159050000002</v>
      </c>
      <c r="L11" s="79">
        <f t="shared" si="43"/>
        <v>8729.5754324999998</v>
      </c>
      <c r="M11" s="70">
        <f t="shared" si="43"/>
        <v>10039.011747375</v>
      </c>
      <c r="N11" s="23">
        <f t="shared" si="43"/>
        <v>10911.969290624998</v>
      </c>
      <c r="O11" s="23">
        <f t="shared" si="43"/>
        <v>11784.926833875001</v>
      </c>
      <c r="P11" s="128">
        <f t="shared" si="43"/>
        <v>13777.015947571499</v>
      </c>
      <c r="Q11" s="172">
        <f t="shared" si="43"/>
        <v>15154.71754232865</v>
      </c>
      <c r="R11" s="170">
        <f t="shared" si="43"/>
        <v>16532.419137085799</v>
      </c>
      <c r="S11" s="170">
        <f t="shared" si="43"/>
        <v>17910.120731842948</v>
      </c>
      <c r="T11" s="206">
        <f t="shared" si="16"/>
        <v>2066.5523921357249</v>
      </c>
      <c r="U11" s="206">
        <f t="shared" si="17"/>
        <v>4133.1047842714497</v>
      </c>
      <c r="V11" s="207">
        <f t="shared" si="18"/>
        <v>22043.225516114398</v>
      </c>
      <c r="W11" s="206">
        <f t="shared" si="19"/>
        <v>1377.7015947571499</v>
      </c>
      <c r="X11" s="206">
        <f t="shared" si="20"/>
        <v>2755.4031895142998</v>
      </c>
      <c r="Y11" s="208">
        <f t="shared" si="21"/>
        <v>5373.0362195528842</v>
      </c>
      <c r="Z11" s="208">
        <f t="shared" si="9"/>
        <v>1350.1475628620069</v>
      </c>
      <c r="AA11" s="209">
        <f t="shared" si="10"/>
        <v>28766.409298529288</v>
      </c>
      <c r="AB11" s="196">
        <f t="shared" si="22"/>
        <v>3164.3050228382217</v>
      </c>
      <c r="AC11" s="197">
        <f t="shared" si="23"/>
        <v>7191.6023246323221</v>
      </c>
      <c r="AD11" s="198">
        <f t="shared" si="24"/>
        <v>35958.011623161612</v>
      </c>
      <c r="AE11" s="197">
        <f t="shared" si="25"/>
        <v>4314.9613947793932</v>
      </c>
      <c r="AF11" s="197">
        <f t="shared" si="26"/>
        <v>7910.7625570955543</v>
      </c>
      <c r="AG11" s="197">
        <f t="shared" si="27"/>
        <v>12944.88418433818</v>
      </c>
      <c r="AH11" s="197">
        <f t="shared" si="28"/>
        <v>19589.924732298445</v>
      </c>
      <c r="AI11" s="198">
        <f t="shared" si="29"/>
        <v>55547.936355460057</v>
      </c>
      <c r="AJ11" s="197">
        <f t="shared" si="30"/>
        <v>15821.525114191109</v>
      </c>
      <c r="AK11" s="197">
        <f t="shared" si="31"/>
        <v>26292.498098855773</v>
      </c>
      <c r="AL11" s="197">
        <f t="shared" si="32"/>
        <v>29888.299261171935</v>
      </c>
      <c r="AM11" s="303">
        <f t="shared" si="33"/>
        <v>4516.3262598690981</v>
      </c>
      <c r="AN11" s="303">
        <f t="shared" si="34"/>
        <v>7205.9855292815864</v>
      </c>
      <c r="AO11" s="333">
        <f t="shared" si="42"/>
        <v>102834.1599603825</v>
      </c>
      <c r="AP11" s="208">
        <f t="shared" si="35"/>
        <v>9049.4060765136601</v>
      </c>
      <c r="AQ11" s="337">
        <f t="shared" si="36"/>
        <v>111883.56603689617</v>
      </c>
      <c r="AR11" s="339">
        <f t="shared" si="37"/>
        <v>4699.5211101894811</v>
      </c>
      <c r="AS11" s="347">
        <f t="shared" si="38"/>
        <v>116583.08714708564</v>
      </c>
      <c r="AT11" s="339">
        <f t="shared" si="39"/>
        <v>10242.282332054099</v>
      </c>
      <c r="AU11" s="673">
        <f t="shared" si="40"/>
        <v>132152.17896508757</v>
      </c>
      <c r="AV11" s="1093">
        <f t="shared" si="41"/>
        <v>4113.3663984153</v>
      </c>
      <c r="AW11" s="1094"/>
      <c r="AX11" s="660"/>
      <c r="AY11" s="655"/>
      <c r="AZ11" s="647"/>
      <c r="BA11" s="647"/>
    </row>
    <row r="12" spans="1:55" s="199" customFormat="1" ht="24.95" customHeight="1" x14ac:dyDescent="0.25">
      <c r="A12" s="1171" t="s">
        <v>202</v>
      </c>
      <c r="B12" s="1128" t="s">
        <v>196</v>
      </c>
      <c r="C12" s="115" t="s">
        <v>194</v>
      </c>
      <c r="D12" s="107">
        <f>'[1]2018'!$AJ$13</f>
        <v>30860.059720000012</v>
      </c>
      <c r="E12" s="58">
        <f>'[1]2018'!$AK$13</f>
        <v>34166.494690000014</v>
      </c>
      <c r="F12" s="66">
        <f t="shared" si="11"/>
        <v>37583.144159000018</v>
      </c>
      <c r="G12" s="21">
        <f t="shared" si="12"/>
        <v>40658.128681100017</v>
      </c>
      <c r="H12" s="21">
        <f t="shared" si="13"/>
        <v>42093.121458080015</v>
      </c>
      <c r="I12" s="21">
        <f t="shared" si="14"/>
        <v>45168.105980180015</v>
      </c>
      <c r="J12" s="67">
        <f t="shared" si="15"/>
        <v>49780.582763330014</v>
      </c>
      <c r="K12" s="186">
        <f t="shared" si="0"/>
        <v>64714.757592329013</v>
      </c>
      <c r="L12" s="187">
        <f t="shared" si="1"/>
        <v>72181.845006828516</v>
      </c>
      <c r="M12" s="188">
        <f t="shared" si="2"/>
        <v>83009.121757852787</v>
      </c>
      <c r="N12" s="189">
        <f t="shared" si="3"/>
        <v>90227.306258535653</v>
      </c>
      <c r="O12" s="189">
        <f t="shared" si="4"/>
        <v>97445.49075921849</v>
      </c>
      <c r="P12" s="190">
        <f t="shared" si="5"/>
        <v>113917.38778977677</v>
      </c>
      <c r="Q12" s="201">
        <f t="shared" si="6"/>
        <v>125309.12656875444</v>
      </c>
      <c r="R12" s="137">
        <f t="shared" si="7"/>
        <v>136700.86534773212</v>
      </c>
      <c r="S12" s="137">
        <f t="shared" si="8"/>
        <v>148092.6041267098</v>
      </c>
      <c r="T12" s="206">
        <f t="shared" si="16"/>
        <v>17087.608168466515</v>
      </c>
      <c r="U12" s="206">
        <f t="shared" si="17"/>
        <v>34175.21633693303</v>
      </c>
      <c r="V12" s="207">
        <f t="shared" si="18"/>
        <v>182267.82046364283</v>
      </c>
      <c r="W12" s="206">
        <f t="shared" si="19"/>
        <v>11391.738778977677</v>
      </c>
      <c r="X12" s="206">
        <f t="shared" si="20"/>
        <v>22783.477557955353</v>
      </c>
      <c r="Y12" s="208">
        <f t="shared" si="21"/>
        <v>44427.78123801294</v>
      </c>
      <c r="Z12" s="208">
        <f t="shared" si="9"/>
        <v>11163.904003398125</v>
      </c>
      <c r="AA12" s="209">
        <f t="shared" si="10"/>
        <v>237859.50570505389</v>
      </c>
      <c r="AB12" s="196">
        <f t="shared" si="22"/>
        <v>26164.545627555926</v>
      </c>
      <c r="AC12" s="197">
        <f t="shared" si="23"/>
        <v>59464.876426263472</v>
      </c>
      <c r="AD12" s="198">
        <f t="shared" si="24"/>
        <v>297324.38213131734</v>
      </c>
      <c r="AE12" s="197">
        <f t="shared" si="25"/>
        <v>35678.925855758083</v>
      </c>
      <c r="AF12" s="197">
        <f t="shared" si="26"/>
        <v>65411.364068889823</v>
      </c>
      <c r="AG12" s="197">
        <f t="shared" si="27"/>
        <v>107036.77756727426</v>
      </c>
      <c r="AH12" s="197">
        <f t="shared" si="28"/>
        <v>161982.32338514167</v>
      </c>
      <c r="AI12" s="198">
        <f t="shared" si="29"/>
        <v>459306.70551645907</v>
      </c>
      <c r="AJ12" s="197">
        <f t="shared" si="30"/>
        <v>130822.72813777965</v>
      </c>
      <c r="AK12" s="197">
        <f t="shared" si="31"/>
        <v>217403.58821441926</v>
      </c>
      <c r="AL12" s="197">
        <f t="shared" si="32"/>
        <v>247136.026427551</v>
      </c>
      <c r="AM12" s="303">
        <f t="shared" si="33"/>
        <v>37343.942395693462</v>
      </c>
      <c r="AN12" s="303">
        <f t="shared" si="34"/>
        <v>59583.806179116007</v>
      </c>
      <c r="AO12" s="333">
        <f t="shared" si="42"/>
        <v>850300.1609944267</v>
      </c>
      <c r="AP12" s="208">
        <f t="shared" si="35"/>
        <v>74826.41416750956</v>
      </c>
      <c r="AQ12" s="337">
        <f t="shared" si="36"/>
        <v>925126.57516193623</v>
      </c>
      <c r="AR12" s="339">
        <f t="shared" si="37"/>
        <v>38858.717357445305</v>
      </c>
      <c r="AS12" s="347">
        <f t="shared" si="38"/>
        <v>963985.2925193815</v>
      </c>
      <c r="AT12" s="339">
        <f t="shared" si="39"/>
        <v>84689.896035044905</v>
      </c>
      <c r="AU12" s="673">
        <f t="shared" si="40"/>
        <v>1092720.7368939377</v>
      </c>
      <c r="AV12" s="1093">
        <f t="shared" si="41"/>
        <v>34012.006439777069</v>
      </c>
      <c r="AW12" s="1094"/>
      <c r="AX12" s="660"/>
      <c r="AY12" s="655"/>
      <c r="AZ12" s="647"/>
      <c r="BA12" s="647"/>
    </row>
    <row r="13" spans="1:55" s="199" customFormat="1" ht="35.1" customHeight="1" thickBot="1" x14ac:dyDescent="0.3">
      <c r="A13" s="1172"/>
      <c r="B13" s="1129"/>
      <c r="C13" s="120" t="s">
        <v>197</v>
      </c>
      <c r="D13" s="110">
        <f>(D12*16)/100</f>
        <v>4937.6095552000015</v>
      </c>
      <c r="E13" s="61">
        <f t="shared" ref="E13:S13" si="44">(E12*16)/100</f>
        <v>5466.6391504000021</v>
      </c>
      <c r="F13" s="72">
        <f t="shared" si="44"/>
        <v>6013.3030654400027</v>
      </c>
      <c r="G13" s="24">
        <f t="shared" si="44"/>
        <v>6505.3005889760025</v>
      </c>
      <c r="H13" s="24">
        <f t="shared" si="44"/>
        <v>6734.8994332928023</v>
      </c>
      <c r="I13" s="24">
        <f t="shared" si="44"/>
        <v>7226.8969568288021</v>
      </c>
      <c r="J13" s="54">
        <f t="shared" si="44"/>
        <v>7964.8932421328027</v>
      </c>
      <c r="K13" s="80">
        <f t="shared" si="44"/>
        <v>10354.361214772642</v>
      </c>
      <c r="L13" s="81">
        <f t="shared" si="44"/>
        <v>11549.095201092563</v>
      </c>
      <c r="M13" s="72">
        <f t="shared" si="44"/>
        <v>13281.459481256446</v>
      </c>
      <c r="N13" s="24">
        <f t="shared" si="44"/>
        <v>14436.369001365705</v>
      </c>
      <c r="O13" s="24">
        <f t="shared" si="44"/>
        <v>15591.278521474958</v>
      </c>
      <c r="P13" s="129">
        <f t="shared" si="44"/>
        <v>18226.782046364282</v>
      </c>
      <c r="Q13" s="172">
        <f t="shared" si="44"/>
        <v>20049.46025100071</v>
      </c>
      <c r="R13" s="170">
        <f t="shared" si="44"/>
        <v>21872.138455637138</v>
      </c>
      <c r="S13" s="170">
        <f t="shared" si="44"/>
        <v>23694.816660273569</v>
      </c>
      <c r="T13" s="206">
        <f t="shared" si="16"/>
        <v>2734.0173069546422</v>
      </c>
      <c r="U13" s="206">
        <f t="shared" si="17"/>
        <v>5468.0346139092844</v>
      </c>
      <c r="V13" s="207">
        <f t="shared" si="18"/>
        <v>29162.851274182853</v>
      </c>
      <c r="W13" s="206">
        <f t="shared" si="19"/>
        <v>1822.6782046364283</v>
      </c>
      <c r="X13" s="206">
        <f t="shared" si="20"/>
        <v>3645.3564092728566</v>
      </c>
      <c r="Y13" s="208">
        <f t="shared" si="21"/>
        <v>7108.44499808207</v>
      </c>
      <c r="Z13" s="208">
        <f t="shared" si="9"/>
        <v>1786.2246405436997</v>
      </c>
      <c r="AA13" s="209">
        <f t="shared" si="10"/>
        <v>38057.520912808621</v>
      </c>
      <c r="AB13" s="196">
        <f t="shared" si="22"/>
        <v>4186.3273004089478</v>
      </c>
      <c r="AC13" s="197">
        <f t="shared" si="23"/>
        <v>9514.3802282021552</v>
      </c>
      <c r="AD13" s="198">
        <f t="shared" si="24"/>
        <v>47571.901141010778</v>
      </c>
      <c r="AE13" s="197">
        <f t="shared" si="25"/>
        <v>5708.6281369212929</v>
      </c>
      <c r="AF13" s="197">
        <f t="shared" si="26"/>
        <v>10465.818251022371</v>
      </c>
      <c r="AG13" s="197">
        <f t="shared" si="27"/>
        <v>17125.88441076388</v>
      </c>
      <c r="AH13" s="197">
        <f t="shared" si="28"/>
        <v>25917.171741622667</v>
      </c>
      <c r="AI13" s="198">
        <f t="shared" si="29"/>
        <v>73489.072882633453</v>
      </c>
      <c r="AJ13" s="197">
        <f t="shared" si="30"/>
        <v>20931.636502044741</v>
      </c>
      <c r="AK13" s="197">
        <f t="shared" si="31"/>
        <v>34784.574114307085</v>
      </c>
      <c r="AL13" s="197">
        <f t="shared" si="32"/>
        <v>39541.764228408159</v>
      </c>
      <c r="AM13" s="303">
        <f t="shared" si="33"/>
        <v>5975.0307833109528</v>
      </c>
      <c r="AN13" s="303">
        <f t="shared" si="34"/>
        <v>9533.4089886585607</v>
      </c>
      <c r="AO13" s="333">
        <f t="shared" si="42"/>
        <v>136048.02575910828</v>
      </c>
      <c r="AP13" s="208">
        <f t="shared" si="35"/>
        <v>11972.22626680153</v>
      </c>
      <c r="AQ13" s="337">
        <f t="shared" si="36"/>
        <v>148020.25202590981</v>
      </c>
      <c r="AR13" s="339">
        <f t="shared" si="37"/>
        <v>6217.394777191249</v>
      </c>
      <c r="AS13" s="347">
        <f t="shared" si="38"/>
        <v>154237.64680310106</v>
      </c>
      <c r="AT13" s="339">
        <f t="shared" si="39"/>
        <v>13550.383365607186</v>
      </c>
      <c r="AU13" s="673">
        <f t="shared" si="40"/>
        <v>174835.31790303005</v>
      </c>
      <c r="AV13" s="1093">
        <f t="shared" si="41"/>
        <v>5441.9210303643313</v>
      </c>
      <c r="AW13" s="1094"/>
      <c r="AX13" s="660"/>
      <c r="AY13" s="655"/>
      <c r="AZ13" s="647"/>
      <c r="BA13" s="647"/>
    </row>
    <row r="14" spans="1:55" ht="24.95" customHeight="1" x14ac:dyDescent="0.25">
      <c r="A14" s="1179" t="s">
        <v>203</v>
      </c>
      <c r="B14" s="1189" t="s">
        <v>205</v>
      </c>
      <c r="C14" s="115" t="s">
        <v>194</v>
      </c>
      <c r="D14" s="111">
        <v>37964.045467544012</v>
      </c>
      <c r="E14" s="62">
        <v>42030.970796115857</v>
      </c>
      <c r="F14" s="73">
        <f>(E14*10)/100+E14</f>
        <v>46234.067875727444</v>
      </c>
      <c r="G14" s="25">
        <f>(E14*19)/100+E14</f>
        <v>50016.855247377869</v>
      </c>
      <c r="H14" s="25">
        <f>(E14*23.2)/100+E14</f>
        <v>51782.156020814735</v>
      </c>
      <c r="I14" s="25">
        <f>(E14*32.2)/100+E14</f>
        <v>55564.94339246516</v>
      </c>
      <c r="J14" s="74">
        <v>61239.124449940799</v>
      </c>
      <c r="K14" s="82">
        <f>(J14*30)/100+J14</f>
        <v>79610.861784923036</v>
      </c>
      <c r="L14" s="83">
        <v>88796.730452414151</v>
      </c>
      <c r="M14" s="90">
        <f>(L14*15)/100+L14</f>
        <v>102116.24002027628</v>
      </c>
      <c r="N14" s="29">
        <f>(L14*25)/100+L14</f>
        <v>110995.91306551769</v>
      </c>
      <c r="O14" s="29">
        <f>(L14*35)/100+L14</f>
        <v>119875.5861107591</v>
      </c>
      <c r="P14" s="130">
        <v>140139</v>
      </c>
      <c r="Q14" s="173">
        <f>(P14*10)/100+P14</f>
        <v>154152.9</v>
      </c>
      <c r="R14" s="171">
        <f>(P14*20)/100+P14</f>
        <v>168166.8</v>
      </c>
      <c r="S14" s="171">
        <f>(P14*30)/100+P14</f>
        <v>182180.7</v>
      </c>
      <c r="T14" s="206">
        <f t="shared" si="16"/>
        <v>21020.85</v>
      </c>
      <c r="U14" s="206">
        <f t="shared" si="17"/>
        <v>42041.7</v>
      </c>
      <c r="V14" s="207">
        <f t="shared" si="18"/>
        <v>224222.4</v>
      </c>
      <c r="W14" s="206">
        <f t="shared" si="19"/>
        <v>14013.9</v>
      </c>
      <c r="X14" s="206">
        <f t="shared" si="20"/>
        <v>28027.8</v>
      </c>
      <c r="Y14" s="208">
        <f t="shared" si="21"/>
        <v>54654.21</v>
      </c>
      <c r="Z14" s="208">
        <f t="shared" si="9"/>
        <v>13733.622000000001</v>
      </c>
      <c r="AA14" s="209">
        <f t="shared" si="10"/>
        <v>292610.23199999996</v>
      </c>
      <c r="AB14" s="196">
        <f t="shared" si="22"/>
        <v>32187.125519999998</v>
      </c>
      <c r="AC14" s="197">
        <f t="shared" si="23"/>
        <v>73152.55799999999</v>
      </c>
      <c r="AD14" s="198">
        <f t="shared" si="24"/>
        <v>365762.78999999992</v>
      </c>
      <c r="AE14" s="197">
        <f t="shared" si="25"/>
        <v>43891.534799999994</v>
      </c>
      <c r="AF14" s="197">
        <f t="shared" si="26"/>
        <v>80467.813799999989</v>
      </c>
      <c r="AG14" s="197">
        <f t="shared" si="27"/>
        <v>131674.60439999998</v>
      </c>
      <c r="AH14" s="197">
        <f t="shared" si="28"/>
        <v>199267.56799199994</v>
      </c>
      <c r="AI14" s="198">
        <f t="shared" si="29"/>
        <v>565030.35799199995</v>
      </c>
      <c r="AJ14" s="197">
        <f t="shared" si="30"/>
        <v>160935.62759999998</v>
      </c>
      <c r="AK14" s="197">
        <f t="shared" si="31"/>
        <v>267445.75204799999</v>
      </c>
      <c r="AL14" s="197">
        <f t="shared" si="32"/>
        <v>304022.03104799998</v>
      </c>
      <c r="AM14" s="303">
        <f t="shared" si="33"/>
        <v>45939.806423999995</v>
      </c>
      <c r="AN14" s="303">
        <f t="shared" si="34"/>
        <v>73298.863115999993</v>
      </c>
      <c r="AO14" s="333">
        <f t="shared" si="42"/>
        <v>1046023.0573535999</v>
      </c>
      <c r="AP14" s="208">
        <f t="shared" si="35"/>
        <v>92050.029047116812</v>
      </c>
      <c r="AQ14" s="337">
        <f t="shared" si="36"/>
        <v>1138073.0864007168</v>
      </c>
      <c r="AR14" s="339">
        <f t="shared" si="37"/>
        <v>47803.253721059526</v>
      </c>
      <c r="AS14" s="347">
        <f t="shared" si="38"/>
        <v>1185876.3401217763</v>
      </c>
      <c r="AT14" s="339">
        <f t="shared" si="39"/>
        <v>104183.89651241856</v>
      </c>
      <c r="AU14" s="673">
        <f t="shared" si="40"/>
        <v>1344244.2310051112</v>
      </c>
      <c r="AV14" s="1093">
        <f t="shared" si="41"/>
        <v>41840.922294143995</v>
      </c>
      <c r="AW14" s="1094"/>
      <c r="AX14" s="160"/>
      <c r="AY14" s="656"/>
      <c r="AZ14" s="308"/>
      <c r="BA14" s="308"/>
    </row>
    <row r="15" spans="1:55" ht="24.95" customHeight="1" x14ac:dyDescent="0.25">
      <c r="A15" s="1180"/>
      <c r="B15" s="1190"/>
      <c r="C15" s="116" t="s">
        <v>12</v>
      </c>
      <c r="D15" s="112">
        <f>(D14*35)/100+D14</f>
        <v>51251.461381184417</v>
      </c>
      <c r="E15" s="63">
        <f t="shared" ref="E15:K15" si="45">(E14*35)/100+E14</f>
        <v>56741.810574756404</v>
      </c>
      <c r="F15" s="75">
        <f t="shared" si="45"/>
        <v>62415.99163223205</v>
      </c>
      <c r="G15" s="26">
        <f t="shared" si="45"/>
        <v>67522.754583960123</v>
      </c>
      <c r="H15" s="26">
        <f t="shared" si="45"/>
        <v>69905.910628099897</v>
      </c>
      <c r="I15" s="26">
        <f t="shared" si="45"/>
        <v>75012.67357982797</v>
      </c>
      <c r="J15" s="55">
        <f t="shared" si="45"/>
        <v>82672.818007420079</v>
      </c>
      <c r="K15" s="84">
        <f t="shared" si="45"/>
        <v>107474.66340964611</v>
      </c>
      <c r="L15" s="85">
        <f>(L14*35)/100+L14</f>
        <v>119875.5861107591</v>
      </c>
      <c r="M15" s="75">
        <f t="shared" ref="M15:O15" si="46">(M14*35)/100+M14</f>
        <v>137856.92402737297</v>
      </c>
      <c r="N15" s="26">
        <f t="shared" si="46"/>
        <v>149844.48263844888</v>
      </c>
      <c r="O15" s="26">
        <f t="shared" si="46"/>
        <v>161832.0412495248</v>
      </c>
      <c r="P15" s="131">
        <f>(P14*35)/100+P14</f>
        <v>189187.65</v>
      </c>
      <c r="Q15" s="91">
        <f t="shared" ref="Q15:S15" si="47">(Q14*35)/100+Q14</f>
        <v>208106.41499999998</v>
      </c>
      <c r="R15" s="18">
        <f t="shared" si="47"/>
        <v>227025.18</v>
      </c>
      <c r="S15" s="18">
        <f t="shared" si="47"/>
        <v>245943.94500000001</v>
      </c>
      <c r="T15" s="206">
        <f t="shared" si="16"/>
        <v>28378.147499999999</v>
      </c>
      <c r="U15" s="206">
        <f t="shared" si="17"/>
        <v>56756.294999999998</v>
      </c>
      <c r="V15" s="207">
        <f t="shared" si="18"/>
        <v>302700.24</v>
      </c>
      <c r="W15" s="206">
        <f t="shared" si="19"/>
        <v>18918.764999999999</v>
      </c>
      <c r="X15" s="206">
        <f t="shared" si="20"/>
        <v>37837.53</v>
      </c>
      <c r="Y15" s="208">
        <f t="shared" si="21"/>
        <v>73783.183499999999</v>
      </c>
      <c r="Z15" s="208">
        <f t="shared" si="9"/>
        <v>18540.3897</v>
      </c>
      <c r="AA15" s="209">
        <f t="shared" si="10"/>
        <v>395023.81319999998</v>
      </c>
      <c r="AB15" s="196">
        <f t="shared" si="22"/>
        <v>43452.619451999999</v>
      </c>
      <c r="AC15" s="197">
        <f t="shared" si="23"/>
        <v>98755.953299999994</v>
      </c>
      <c r="AD15" s="198">
        <f t="shared" si="24"/>
        <v>493779.76649999997</v>
      </c>
      <c r="AE15" s="197">
        <f t="shared" si="25"/>
        <v>59253.571980000001</v>
      </c>
      <c r="AF15" s="197">
        <f t="shared" si="26"/>
        <v>108631.54863</v>
      </c>
      <c r="AG15" s="197">
        <f t="shared" si="27"/>
        <v>177760.71593999999</v>
      </c>
      <c r="AH15" s="197">
        <f t="shared" si="28"/>
        <v>269011.21678919997</v>
      </c>
      <c r="AI15" s="198">
        <f t="shared" si="29"/>
        <v>762790.98328919988</v>
      </c>
      <c r="AJ15" s="197">
        <f t="shared" si="30"/>
        <v>217263.09726000001</v>
      </c>
      <c r="AK15" s="197">
        <f t="shared" si="31"/>
        <v>361051.76526479999</v>
      </c>
      <c r="AL15" s="197">
        <f t="shared" si="32"/>
        <v>410429.74191480002</v>
      </c>
      <c r="AM15" s="303">
        <f t="shared" si="33"/>
        <v>62018.738672399995</v>
      </c>
      <c r="AN15" s="303">
        <f t="shared" si="34"/>
        <v>98953.465206599998</v>
      </c>
      <c r="AO15" s="333">
        <f t="shared" si="42"/>
        <v>1412131.12742736</v>
      </c>
      <c r="AP15" s="208">
        <f t="shared" si="35"/>
        <v>124267.5392136077</v>
      </c>
      <c r="AQ15" s="337">
        <f t="shared" si="36"/>
        <v>1536398.6666409678</v>
      </c>
      <c r="AR15" s="339">
        <f t="shared" si="37"/>
        <v>64534.392523430361</v>
      </c>
      <c r="AS15" s="347">
        <f t="shared" si="38"/>
        <v>1600933.0591643981</v>
      </c>
      <c r="AT15" s="339">
        <f t="shared" si="39"/>
        <v>140648.26029176507</v>
      </c>
      <c r="AU15" s="673">
        <f t="shared" si="40"/>
        <v>1814729.7118569002</v>
      </c>
      <c r="AV15" s="1093">
        <f t="shared" si="41"/>
        <v>56485.245097094405</v>
      </c>
      <c r="AW15" s="1094"/>
      <c r="AX15" s="160"/>
      <c r="AY15" s="656"/>
      <c r="AZ15" s="308"/>
      <c r="BA15" s="308"/>
    </row>
    <row r="16" spans="1:55" ht="24.95" customHeight="1" x14ac:dyDescent="0.25">
      <c r="A16" s="1181"/>
      <c r="B16" s="1191"/>
      <c r="C16" s="121" t="s">
        <v>13</v>
      </c>
      <c r="D16" s="113">
        <f>(D14*24)/100+D14</f>
        <v>47075.416379754577</v>
      </c>
      <c r="E16" s="64">
        <f t="shared" ref="E16:K16" si="48">(E14*24)/100+E14</f>
        <v>52118.403787183663</v>
      </c>
      <c r="F16" s="76">
        <f t="shared" si="48"/>
        <v>57330.244165902033</v>
      </c>
      <c r="G16" s="27">
        <f t="shared" si="48"/>
        <v>62020.900506748556</v>
      </c>
      <c r="H16" s="27">
        <f t="shared" si="48"/>
        <v>64209.873465810269</v>
      </c>
      <c r="I16" s="27">
        <f t="shared" si="48"/>
        <v>68900.529806656792</v>
      </c>
      <c r="J16" s="56">
        <f t="shared" si="48"/>
        <v>75936.514317926587</v>
      </c>
      <c r="K16" s="86">
        <f t="shared" si="48"/>
        <v>98717.468613304562</v>
      </c>
      <c r="L16" s="87">
        <f>(L14*24)/100+L14</f>
        <v>110107.94576099355</v>
      </c>
      <c r="M16" s="76">
        <f t="shared" ref="M16:O16" si="49">(M14*24)/100+M14</f>
        <v>126624.13762514258</v>
      </c>
      <c r="N16" s="27">
        <f t="shared" si="49"/>
        <v>137634.93220124193</v>
      </c>
      <c r="O16" s="27">
        <f t="shared" si="49"/>
        <v>148645.72677734128</v>
      </c>
      <c r="P16" s="132">
        <f>(P14*24)/100+P14</f>
        <v>173772.36</v>
      </c>
      <c r="Q16" s="91">
        <f t="shared" ref="Q16:S16" si="50">(Q14*24)/100+Q14</f>
        <v>191149.59599999999</v>
      </c>
      <c r="R16" s="18">
        <f t="shared" si="50"/>
        <v>208526.83199999999</v>
      </c>
      <c r="S16" s="18">
        <f t="shared" si="50"/>
        <v>225904.06800000003</v>
      </c>
      <c r="T16" s="206">
        <f t="shared" si="16"/>
        <v>26065.853999999999</v>
      </c>
      <c r="U16" s="206">
        <f t="shared" si="17"/>
        <v>52131.707999999999</v>
      </c>
      <c r="V16" s="207">
        <f t="shared" si="18"/>
        <v>278035.77599999995</v>
      </c>
      <c r="W16" s="206">
        <f t="shared" si="19"/>
        <v>17377.235999999997</v>
      </c>
      <c r="X16" s="206">
        <f t="shared" si="20"/>
        <v>34754.471999999994</v>
      </c>
      <c r="Y16" s="208">
        <f t="shared" si="21"/>
        <v>67771.220399999991</v>
      </c>
      <c r="Z16" s="208">
        <f t="shared" si="9"/>
        <v>17029.691279999999</v>
      </c>
      <c r="AA16" s="209">
        <f t="shared" si="10"/>
        <v>362836.68767999997</v>
      </c>
      <c r="AB16" s="196">
        <f t="shared" si="22"/>
        <v>39912.035644799995</v>
      </c>
      <c r="AC16" s="197">
        <f t="shared" si="23"/>
        <v>90709.171919999993</v>
      </c>
      <c r="AD16" s="198">
        <f t="shared" si="24"/>
        <v>453545.85959999997</v>
      </c>
      <c r="AE16" s="197">
        <f t="shared" si="25"/>
        <v>54425.50315199999</v>
      </c>
      <c r="AF16" s="197">
        <f t="shared" si="26"/>
        <v>99780.089112000001</v>
      </c>
      <c r="AG16" s="197">
        <f t="shared" si="27"/>
        <v>163276.509456</v>
      </c>
      <c r="AH16" s="197">
        <f t="shared" si="28"/>
        <v>247091.78431007997</v>
      </c>
      <c r="AI16" s="198">
        <f t="shared" si="29"/>
        <v>700637.64391007996</v>
      </c>
      <c r="AJ16" s="197">
        <f t="shared" si="30"/>
        <v>199560.178224</v>
      </c>
      <c r="AK16" s="197">
        <f t="shared" si="31"/>
        <v>331632.73253952002</v>
      </c>
      <c r="AL16" s="197">
        <f t="shared" si="32"/>
        <v>376987.31849951996</v>
      </c>
      <c r="AM16" s="303">
        <f t="shared" si="33"/>
        <v>56965.359965759992</v>
      </c>
      <c r="AN16" s="303">
        <f t="shared" si="34"/>
        <v>90890.59026384</v>
      </c>
      <c r="AO16" s="333">
        <f t="shared" si="42"/>
        <v>1297068.5911184638</v>
      </c>
      <c r="AP16" s="208">
        <f t="shared" si="35"/>
        <v>114142.03601842481</v>
      </c>
      <c r="AQ16" s="337">
        <f t="shared" si="36"/>
        <v>1411210.6271368887</v>
      </c>
      <c r="AR16" s="339">
        <f t="shared" si="37"/>
        <v>59276.0346141138</v>
      </c>
      <c r="AS16" s="347">
        <f t="shared" si="38"/>
        <v>1470486.6617510023</v>
      </c>
      <c r="AT16" s="339">
        <f t="shared" si="39"/>
        <v>129188.031675399</v>
      </c>
      <c r="AU16" s="673">
        <f t="shared" si="40"/>
        <v>1666862.8464463379</v>
      </c>
      <c r="AV16" s="1093">
        <f t="shared" si="41"/>
        <v>51882.743644738548</v>
      </c>
      <c r="AW16" s="1094"/>
      <c r="AX16" s="160"/>
      <c r="AY16" s="656"/>
      <c r="AZ16" s="308"/>
      <c r="BA16" s="308"/>
    </row>
    <row r="17" spans="1:53" ht="35.1" customHeight="1" thickBot="1" x14ac:dyDescent="0.3">
      <c r="A17" s="1182"/>
      <c r="B17" s="1192"/>
      <c r="C17" s="120" t="s">
        <v>198</v>
      </c>
      <c r="D17" s="114">
        <f>(D14*18)/100</f>
        <v>6833.5281841579217</v>
      </c>
      <c r="E17" s="65">
        <f t="shared" ref="E17:K17" si="51">(E14*18)/100</f>
        <v>7565.5747433008546</v>
      </c>
      <c r="F17" s="77">
        <f t="shared" si="51"/>
        <v>8322.1322176309404</v>
      </c>
      <c r="G17" s="28">
        <f t="shared" si="51"/>
        <v>9003.0339445280169</v>
      </c>
      <c r="H17" s="28">
        <f t="shared" si="51"/>
        <v>9320.7880837466528</v>
      </c>
      <c r="I17" s="28">
        <f t="shared" si="51"/>
        <v>10001.689810643729</v>
      </c>
      <c r="J17" s="57">
        <f t="shared" si="51"/>
        <v>11023.042400989343</v>
      </c>
      <c r="K17" s="88">
        <f t="shared" si="51"/>
        <v>14329.955121286146</v>
      </c>
      <c r="L17" s="89">
        <f>(L14*18)/100</f>
        <v>15983.411481434547</v>
      </c>
      <c r="M17" s="77">
        <f>(M14*18)/100</f>
        <v>18380.923203649731</v>
      </c>
      <c r="N17" s="28">
        <f>(N14*18)/100</f>
        <v>19979.264351793183</v>
      </c>
      <c r="O17" s="28">
        <f>(O14*18)/100</f>
        <v>21577.605499936639</v>
      </c>
      <c r="P17" s="133">
        <f>(P14*16)/100</f>
        <v>22422.240000000002</v>
      </c>
      <c r="Q17" s="91">
        <f t="shared" ref="Q17:S17" si="52">(Q14*16)/100</f>
        <v>24664.464</v>
      </c>
      <c r="R17" s="18">
        <f t="shared" si="52"/>
        <v>26906.687999999998</v>
      </c>
      <c r="S17" s="18">
        <f t="shared" si="52"/>
        <v>29148.912</v>
      </c>
      <c r="T17" s="206">
        <f t="shared" si="16"/>
        <v>3363.3360000000002</v>
      </c>
      <c r="U17" s="206">
        <f t="shared" si="17"/>
        <v>6726.6720000000005</v>
      </c>
      <c r="V17" s="207">
        <f t="shared" si="18"/>
        <v>35875.584000000003</v>
      </c>
      <c r="W17" s="206">
        <f t="shared" si="19"/>
        <v>2242.2240000000002</v>
      </c>
      <c r="X17" s="206">
        <f t="shared" si="20"/>
        <v>4484.4480000000003</v>
      </c>
      <c r="Y17" s="208">
        <f t="shared" si="21"/>
        <v>8744.6736000000019</v>
      </c>
      <c r="Z17" s="208">
        <f t="shared" si="9"/>
        <v>2197.3795200000004</v>
      </c>
      <c r="AA17" s="209">
        <f t="shared" si="10"/>
        <v>46817.637119999999</v>
      </c>
      <c r="AB17" s="196">
        <f t="shared" si="22"/>
        <v>5149.9400832000001</v>
      </c>
      <c r="AC17" s="197">
        <f t="shared" si="23"/>
        <v>11704.40928</v>
      </c>
      <c r="AD17" s="198">
        <f t="shared" si="24"/>
        <v>58522.046399999999</v>
      </c>
      <c r="AE17" s="197">
        <f t="shared" si="25"/>
        <v>7022.6455679999999</v>
      </c>
      <c r="AF17" s="197">
        <f t="shared" si="26"/>
        <v>12874.850208</v>
      </c>
      <c r="AG17" s="197">
        <f t="shared" si="27"/>
        <v>21067.936704000003</v>
      </c>
      <c r="AH17" s="197">
        <f t="shared" si="28"/>
        <v>31882.810878719996</v>
      </c>
      <c r="AI17" s="198">
        <f t="shared" si="29"/>
        <v>90404.857278719996</v>
      </c>
      <c r="AJ17" s="197">
        <f t="shared" si="30"/>
        <v>25749.700416</v>
      </c>
      <c r="AK17" s="197">
        <f t="shared" si="31"/>
        <v>42791.320327679998</v>
      </c>
      <c r="AL17" s="197">
        <f t="shared" si="32"/>
        <v>48643.524967680009</v>
      </c>
      <c r="AM17" s="303">
        <f t="shared" si="33"/>
        <v>7350.369027839999</v>
      </c>
      <c r="AN17" s="303">
        <f t="shared" si="34"/>
        <v>11727.818098560001</v>
      </c>
      <c r="AO17" s="333">
        <f t="shared" si="42"/>
        <v>167363.68917657601</v>
      </c>
      <c r="AP17" s="208">
        <f t="shared" si="35"/>
        <v>14728.00464753869</v>
      </c>
      <c r="AQ17" s="337">
        <f t="shared" si="36"/>
        <v>182091.69382411469</v>
      </c>
      <c r="AR17" s="339">
        <f t="shared" si="37"/>
        <v>7648.520595369524</v>
      </c>
      <c r="AS17" s="347">
        <f t="shared" si="38"/>
        <v>189740.21441948423</v>
      </c>
      <c r="AT17" s="339">
        <f t="shared" si="39"/>
        <v>16669.423441986972</v>
      </c>
      <c r="AU17" s="673">
        <f t="shared" si="40"/>
        <v>215079.07696081782</v>
      </c>
      <c r="AV17" s="1093">
        <f t="shared" si="41"/>
        <v>6694.5475670630403</v>
      </c>
      <c r="AW17" s="1094"/>
      <c r="AX17" s="160"/>
      <c r="AY17" s="656"/>
      <c r="AZ17" s="308"/>
      <c r="BA17" s="308"/>
    </row>
    <row r="18" spans="1:53" ht="24.95" customHeight="1" x14ac:dyDescent="0.25">
      <c r="A18" s="1179" t="s">
        <v>204</v>
      </c>
      <c r="B18" s="1189" t="s">
        <v>199</v>
      </c>
      <c r="C18" s="115" t="s">
        <v>194</v>
      </c>
      <c r="D18" s="111">
        <v>40809.342973728017</v>
      </c>
      <c r="E18" s="62">
        <v>45183.166138363034</v>
      </c>
      <c r="F18" s="73">
        <f>(E18*10)/100+E18</f>
        <v>49701.482752199336</v>
      </c>
      <c r="G18" s="25">
        <f>(E18*19)/100+E18</f>
        <v>53767.967704652008</v>
      </c>
      <c r="H18" s="25">
        <f>(E18*23.2)/100+E18</f>
        <v>55665.660682463262</v>
      </c>
      <c r="I18" s="25">
        <f>(E18*32.2)/100+E18</f>
        <v>59732.145634915934</v>
      </c>
      <c r="J18" s="74">
        <v>65831.873063594932</v>
      </c>
      <c r="K18" s="82">
        <f>(J18*30)/100+J18</f>
        <v>85581.434982673411</v>
      </c>
      <c r="L18" s="83">
        <v>95456.215942212657</v>
      </c>
      <c r="M18" s="90">
        <f>(L18*15)/100+L18</f>
        <v>109774.64833354455</v>
      </c>
      <c r="N18" s="29">
        <f>(L18*25)/100+L18</f>
        <v>119320.26992776582</v>
      </c>
      <c r="O18" s="29">
        <f>(L18*35)/100+L18</f>
        <v>128865.8915219871</v>
      </c>
      <c r="P18" s="130">
        <v>150649</v>
      </c>
      <c r="Q18" s="173">
        <f>(P18*10)/100+P18</f>
        <v>165713.9</v>
      </c>
      <c r="R18" s="171">
        <f>(P18*20)/100+P18</f>
        <v>180778.8</v>
      </c>
      <c r="S18" s="171">
        <f>(P18*30)/100+P18</f>
        <v>195843.7</v>
      </c>
      <c r="T18" s="206">
        <f t="shared" si="16"/>
        <v>22597.35</v>
      </c>
      <c r="U18" s="206">
        <f t="shared" si="17"/>
        <v>45194.7</v>
      </c>
      <c r="V18" s="207">
        <f t="shared" si="18"/>
        <v>241038.4</v>
      </c>
      <c r="W18" s="206">
        <f t="shared" si="19"/>
        <v>15064.9</v>
      </c>
      <c r="X18" s="206">
        <f t="shared" si="20"/>
        <v>30129.8</v>
      </c>
      <c r="Y18" s="208">
        <f t="shared" si="21"/>
        <v>58753.11</v>
      </c>
      <c r="Z18" s="208">
        <f t="shared" si="9"/>
        <v>14763.602000000003</v>
      </c>
      <c r="AA18" s="209">
        <f t="shared" si="10"/>
        <v>314555.11199999996</v>
      </c>
      <c r="AB18" s="196">
        <f t="shared" si="22"/>
        <v>34601.062319999997</v>
      </c>
      <c r="AC18" s="197">
        <f t="shared" si="23"/>
        <v>78638.777999999991</v>
      </c>
      <c r="AD18" s="198">
        <f t="shared" si="24"/>
        <v>393193.88999999996</v>
      </c>
      <c r="AE18" s="197">
        <f t="shared" si="25"/>
        <v>47183.266799999998</v>
      </c>
      <c r="AF18" s="197">
        <f t="shared" si="26"/>
        <v>86502.655799999979</v>
      </c>
      <c r="AG18" s="197">
        <f t="shared" si="27"/>
        <v>141549.80039999998</v>
      </c>
      <c r="AH18" s="197">
        <f t="shared" si="28"/>
        <v>214212.03127199996</v>
      </c>
      <c r="AI18" s="198">
        <f t="shared" si="29"/>
        <v>607405.92127199983</v>
      </c>
      <c r="AJ18" s="197">
        <f t="shared" si="30"/>
        <v>173005.31159999996</v>
      </c>
      <c r="AK18" s="197">
        <f t="shared" si="31"/>
        <v>287503.37236799998</v>
      </c>
      <c r="AL18" s="197">
        <f t="shared" si="32"/>
        <v>326822.76136800001</v>
      </c>
      <c r="AM18" s="303">
        <f t="shared" si="33"/>
        <v>49385.152583999989</v>
      </c>
      <c r="AN18" s="303">
        <f t="shared" si="34"/>
        <v>78796.055555999992</v>
      </c>
      <c r="AO18" s="333">
        <f t="shared" si="42"/>
        <v>1124471.6143775999</v>
      </c>
      <c r="AP18" s="208">
        <f t="shared" si="35"/>
        <v>98953.502065228808</v>
      </c>
      <c r="AQ18" s="337">
        <f t="shared" si="36"/>
        <v>1223425.1164428287</v>
      </c>
      <c r="AR18" s="339">
        <f t="shared" si="37"/>
        <v>51388.352777056323</v>
      </c>
      <c r="AS18" s="347">
        <f t="shared" si="38"/>
        <v>1274813.4692198851</v>
      </c>
      <c r="AT18" s="339">
        <f t="shared" si="39"/>
        <v>111997.37279200897</v>
      </c>
      <c r="AU18" s="673">
        <f t="shared" si="40"/>
        <v>1445058.4716366536</v>
      </c>
      <c r="AV18" s="1093">
        <f t="shared" si="41"/>
        <v>44978.864575103995</v>
      </c>
      <c r="AW18" s="1094"/>
      <c r="AX18" s="160"/>
      <c r="AY18" s="656"/>
      <c r="AZ18" s="308"/>
      <c r="BA18" s="308"/>
    </row>
    <row r="19" spans="1:53" ht="24.95" customHeight="1" x14ac:dyDescent="0.25">
      <c r="A19" s="1180"/>
      <c r="B19" s="1190"/>
      <c r="C19" s="116" t="s">
        <v>12</v>
      </c>
      <c r="D19" s="112">
        <f>(D18*35)/100+D18</f>
        <v>55092.613014532821</v>
      </c>
      <c r="E19" s="63">
        <f t="shared" ref="E19:K19" si="53">(E18*35)/100+E18</f>
        <v>60997.274286790096</v>
      </c>
      <c r="F19" s="75">
        <f t="shared" si="53"/>
        <v>67097.001715469101</v>
      </c>
      <c r="G19" s="26">
        <f t="shared" si="53"/>
        <v>72586.756401280203</v>
      </c>
      <c r="H19" s="26">
        <f t="shared" si="53"/>
        <v>75148.641921325398</v>
      </c>
      <c r="I19" s="26">
        <f t="shared" si="53"/>
        <v>80638.396607136514</v>
      </c>
      <c r="J19" s="55">
        <f t="shared" si="53"/>
        <v>88873.028635853159</v>
      </c>
      <c r="K19" s="84">
        <f t="shared" si="53"/>
        <v>115534.93722660911</v>
      </c>
      <c r="L19" s="85">
        <f>(L18*35)/100+L18</f>
        <v>128865.8915219871</v>
      </c>
      <c r="M19" s="75">
        <f t="shared" ref="M19:O19" si="54">(M18*35)/100+M18</f>
        <v>148195.77525028514</v>
      </c>
      <c r="N19" s="26">
        <f t="shared" si="54"/>
        <v>161082.36440248386</v>
      </c>
      <c r="O19" s="26">
        <f t="shared" si="54"/>
        <v>173968.95355468258</v>
      </c>
      <c r="P19" s="131">
        <f>(P18*35)/100+P18</f>
        <v>203376.15</v>
      </c>
      <c r="Q19" s="91">
        <f t="shared" ref="Q19:S19" si="55">(Q18*35)/100+Q18</f>
        <v>223713.76499999998</v>
      </c>
      <c r="R19" s="18">
        <f t="shared" si="55"/>
        <v>244051.38</v>
      </c>
      <c r="S19" s="18">
        <f t="shared" si="55"/>
        <v>264388.995</v>
      </c>
      <c r="T19" s="206">
        <f t="shared" si="16"/>
        <v>30506.422500000001</v>
      </c>
      <c r="U19" s="206">
        <f t="shared" si="17"/>
        <v>61012.845000000001</v>
      </c>
      <c r="V19" s="207">
        <f t="shared" si="18"/>
        <v>325401.83999999997</v>
      </c>
      <c r="W19" s="206">
        <f t="shared" si="19"/>
        <v>20337.615000000002</v>
      </c>
      <c r="X19" s="206">
        <f t="shared" si="20"/>
        <v>40675.230000000003</v>
      </c>
      <c r="Y19" s="208">
        <f t="shared" si="21"/>
        <v>79316.698499999999</v>
      </c>
      <c r="Z19" s="208">
        <f t="shared" si="9"/>
        <v>19930.862700000001</v>
      </c>
      <c r="AA19" s="209">
        <f t="shared" si="10"/>
        <v>424649.40119999996</v>
      </c>
      <c r="AB19" s="196">
        <f t="shared" si="22"/>
        <v>46711.434131999995</v>
      </c>
      <c r="AC19" s="197">
        <f t="shared" si="23"/>
        <v>106162.35029999999</v>
      </c>
      <c r="AD19" s="198">
        <f t="shared" si="24"/>
        <v>530811.75150000001</v>
      </c>
      <c r="AE19" s="197">
        <f t="shared" si="25"/>
        <v>63697.410179999992</v>
      </c>
      <c r="AF19" s="197">
        <f t="shared" si="26"/>
        <v>116778.58533</v>
      </c>
      <c r="AG19" s="197">
        <f t="shared" si="27"/>
        <v>191092.23053999999</v>
      </c>
      <c r="AH19" s="197">
        <f t="shared" si="28"/>
        <v>289186.24221719994</v>
      </c>
      <c r="AI19" s="198">
        <f t="shared" si="29"/>
        <v>819997.99371719989</v>
      </c>
      <c r="AJ19" s="197">
        <f t="shared" si="30"/>
        <v>233557.17066</v>
      </c>
      <c r="AK19" s="197">
        <f t="shared" si="31"/>
        <v>388129.55269680003</v>
      </c>
      <c r="AL19" s="197">
        <f t="shared" si="32"/>
        <v>441210.7278468</v>
      </c>
      <c r="AM19" s="303">
        <f t="shared" si="33"/>
        <v>66669.95598839999</v>
      </c>
      <c r="AN19" s="303">
        <f t="shared" si="34"/>
        <v>106374.67500059999</v>
      </c>
      <c r="AO19" s="333">
        <f t="shared" si="42"/>
        <v>1518036.6794097601</v>
      </c>
      <c r="AP19" s="208">
        <f t="shared" si="35"/>
        <v>133587.2277880589</v>
      </c>
      <c r="AQ19" s="337">
        <f t="shared" si="36"/>
        <v>1651623.9071978189</v>
      </c>
      <c r="AR19" s="339">
        <f t="shared" si="37"/>
        <v>69374.276249026036</v>
      </c>
      <c r="AS19" s="347">
        <f t="shared" si="38"/>
        <v>1720998.183446845</v>
      </c>
      <c r="AT19" s="339">
        <f t="shared" si="39"/>
        <v>151196.45326921213</v>
      </c>
      <c r="AU19" s="673">
        <f t="shared" si="40"/>
        <v>1950828.9367094827</v>
      </c>
      <c r="AV19" s="1093">
        <f t="shared" si="41"/>
        <v>60721.467176390404</v>
      </c>
      <c r="AW19" s="1094"/>
      <c r="AX19" s="160"/>
      <c r="AY19" s="656"/>
      <c r="AZ19" s="308"/>
      <c r="BA19" s="308"/>
    </row>
    <row r="20" spans="1:53" ht="24.95" customHeight="1" x14ac:dyDescent="0.25">
      <c r="A20" s="1181"/>
      <c r="B20" s="1191"/>
      <c r="C20" s="121" t="s">
        <v>13</v>
      </c>
      <c r="D20" s="113">
        <f>(D18*24)/100+D18</f>
        <v>50603.585287422742</v>
      </c>
      <c r="E20" s="64">
        <f t="shared" ref="E20:K20" si="56">(E18*24)/100+E18</f>
        <v>56027.126011570159</v>
      </c>
      <c r="F20" s="76">
        <f t="shared" si="56"/>
        <v>61629.838612727173</v>
      </c>
      <c r="G20" s="27">
        <f t="shared" si="56"/>
        <v>66672.279953768491</v>
      </c>
      <c r="H20" s="27">
        <f t="shared" si="56"/>
        <v>69025.419246254445</v>
      </c>
      <c r="I20" s="27">
        <f t="shared" si="56"/>
        <v>74067.860587295756</v>
      </c>
      <c r="J20" s="56">
        <f t="shared" si="56"/>
        <v>81631.522598857715</v>
      </c>
      <c r="K20" s="86">
        <f t="shared" si="56"/>
        <v>106120.97937851503</v>
      </c>
      <c r="L20" s="87">
        <f>(L18*24)/100+L18</f>
        <v>118365.70776834369</v>
      </c>
      <c r="M20" s="76">
        <f t="shared" ref="M20:O20" si="57">(M18*24)/100+M18</f>
        <v>136120.56393359526</v>
      </c>
      <c r="N20" s="27">
        <f t="shared" si="57"/>
        <v>147957.13471042961</v>
      </c>
      <c r="O20" s="27">
        <f t="shared" si="57"/>
        <v>159793.705487264</v>
      </c>
      <c r="P20" s="132">
        <f>(P18*24)/100+P18</f>
        <v>186804.76</v>
      </c>
      <c r="Q20" s="91">
        <f t="shared" ref="Q20:S20" si="58">(Q18*24)/100+Q18</f>
        <v>205485.23599999998</v>
      </c>
      <c r="R20" s="18">
        <f t="shared" si="58"/>
        <v>224165.71199999997</v>
      </c>
      <c r="S20" s="18">
        <f t="shared" si="58"/>
        <v>242846.18800000002</v>
      </c>
      <c r="T20" s="206">
        <f t="shared" si="16"/>
        <v>28020.714000000004</v>
      </c>
      <c r="U20" s="206">
        <f t="shared" si="17"/>
        <v>56041.428000000007</v>
      </c>
      <c r="V20" s="207">
        <f t="shared" si="18"/>
        <v>298887.61600000004</v>
      </c>
      <c r="W20" s="206">
        <f t="shared" si="19"/>
        <v>18680.476000000002</v>
      </c>
      <c r="X20" s="206">
        <f t="shared" si="20"/>
        <v>37360.952000000005</v>
      </c>
      <c r="Y20" s="208">
        <f t="shared" si="21"/>
        <v>72853.856400000004</v>
      </c>
      <c r="Z20" s="208">
        <f t="shared" si="9"/>
        <v>18306.866480000004</v>
      </c>
      <c r="AA20" s="209">
        <f t="shared" si="10"/>
        <v>390048.33888000005</v>
      </c>
      <c r="AB20" s="196">
        <f t="shared" si="22"/>
        <v>42905.317276800008</v>
      </c>
      <c r="AC20" s="197">
        <f t="shared" si="23"/>
        <v>97512.084720000013</v>
      </c>
      <c r="AD20" s="198">
        <f t="shared" si="24"/>
        <v>487560.4236000001</v>
      </c>
      <c r="AE20" s="197">
        <f t="shared" si="25"/>
        <v>58507.250832000012</v>
      </c>
      <c r="AF20" s="197">
        <f t="shared" si="26"/>
        <v>107263.29319200001</v>
      </c>
      <c r="AG20" s="197">
        <f t="shared" si="27"/>
        <v>175521.752496</v>
      </c>
      <c r="AH20" s="197">
        <f t="shared" si="28"/>
        <v>265622.91877728002</v>
      </c>
      <c r="AI20" s="198">
        <f t="shared" si="29"/>
        <v>753183.34237728012</v>
      </c>
      <c r="AJ20" s="197">
        <f t="shared" si="30"/>
        <v>214526.58638400002</v>
      </c>
      <c r="AK20" s="197">
        <f t="shared" si="31"/>
        <v>356504.18173632008</v>
      </c>
      <c r="AL20" s="197">
        <f t="shared" si="32"/>
        <v>405260.22409632005</v>
      </c>
      <c r="AM20" s="303">
        <f t="shared" si="33"/>
        <v>61237.589204160002</v>
      </c>
      <c r="AN20" s="303">
        <f t="shared" si="34"/>
        <v>97707.108889440016</v>
      </c>
      <c r="AO20" s="333">
        <f t="shared" si="42"/>
        <v>1394344.8018282242</v>
      </c>
      <c r="AP20" s="208">
        <f t="shared" si="35"/>
        <v>122702.34256088374</v>
      </c>
      <c r="AQ20" s="337">
        <f t="shared" si="36"/>
        <v>1517047.1443891081</v>
      </c>
      <c r="AR20" s="339">
        <f t="shared" si="37"/>
        <v>63721.557443549849</v>
      </c>
      <c r="AS20" s="347">
        <f t="shared" si="38"/>
        <v>1580768.7018326577</v>
      </c>
      <c r="AT20" s="339">
        <f t="shared" si="39"/>
        <v>138876.74226209114</v>
      </c>
      <c r="AU20" s="673">
        <f t="shared" si="40"/>
        <v>1791872.504829451</v>
      </c>
      <c r="AV20" s="1093">
        <f t="shared" si="41"/>
        <v>55773.792073128971</v>
      </c>
      <c r="AW20" s="1094"/>
      <c r="AX20" s="160"/>
      <c r="AY20" s="656"/>
      <c r="AZ20" s="308"/>
      <c r="BA20" s="308"/>
    </row>
    <row r="21" spans="1:53" ht="35.1" customHeight="1" thickBot="1" x14ac:dyDescent="0.3">
      <c r="A21" s="1182"/>
      <c r="B21" s="1192"/>
      <c r="C21" s="120" t="s">
        <v>198</v>
      </c>
      <c r="D21" s="114">
        <f>(D18*18)/100</f>
        <v>7345.6817352710432</v>
      </c>
      <c r="E21" s="65">
        <f t="shared" ref="E21:K21" si="59">(E18*18)/100</f>
        <v>8132.9699049053461</v>
      </c>
      <c r="F21" s="77">
        <f t="shared" si="59"/>
        <v>8946.2668953958801</v>
      </c>
      <c r="G21" s="28">
        <f t="shared" si="59"/>
        <v>9678.2341868373605</v>
      </c>
      <c r="H21" s="28">
        <f t="shared" si="59"/>
        <v>10019.818922843388</v>
      </c>
      <c r="I21" s="28">
        <f t="shared" si="59"/>
        <v>10751.786214284868</v>
      </c>
      <c r="J21" s="57">
        <f t="shared" si="59"/>
        <v>11849.737151447087</v>
      </c>
      <c r="K21" s="88">
        <f t="shared" si="59"/>
        <v>15404.658296881213</v>
      </c>
      <c r="L21" s="89">
        <f>(L18*18)/100</f>
        <v>17182.118869598278</v>
      </c>
      <c r="M21" s="77">
        <f>(M18*18)/100</f>
        <v>19759.436700038019</v>
      </c>
      <c r="N21" s="28">
        <f>(N18*18)/100</f>
        <v>21477.648586997846</v>
      </c>
      <c r="O21" s="28">
        <f>(O18*18)/100</f>
        <v>23195.860473957677</v>
      </c>
      <c r="P21" s="133">
        <f>(P18*18)/100</f>
        <v>27116.82</v>
      </c>
      <c r="Q21" s="92">
        <f t="shared" ref="Q21:S21" si="60">(Q18*18)/100</f>
        <v>29828.501999999997</v>
      </c>
      <c r="R21" s="17">
        <f t="shared" si="60"/>
        <v>32540.183999999997</v>
      </c>
      <c r="S21" s="17">
        <f t="shared" si="60"/>
        <v>35251.866000000002</v>
      </c>
      <c r="T21" s="215">
        <f t="shared" si="16"/>
        <v>4067.5229999999997</v>
      </c>
      <c r="U21" s="215">
        <f t="shared" si="17"/>
        <v>8135.0459999999994</v>
      </c>
      <c r="V21" s="216">
        <f t="shared" si="18"/>
        <v>43386.911999999997</v>
      </c>
      <c r="W21" s="215">
        <f t="shared" si="19"/>
        <v>2711.6820000000002</v>
      </c>
      <c r="X21" s="215">
        <f t="shared" si="20"/>
        <v>5423.3640000000005</v>
      </c>
      <c r="Y21" s="217">
        <f t="shared" si="21"/>
        <v>10575.559799999999</v>
      </c>
      <c r="Z21" s="217">
        <f t="shared" si="9"/>
        <v>2657.4483600000003</v>
      </c>
      <c r="AA21" s="218">
        <f t="shared" si="10"/>
        <v>56619.920159999994</v>
      </c>
      <c r="AB21" s="219">
        <f t="shared" si="22"/>
        <v>6228.1912175999987</v>
      </c>
      <c r="AC21" s="220">
        <f t="shared" si="23"/>
        <v>14154.98004</v>
      </c>
      <c r="AD21" s="221">
        <f t="shared" si="24"/>
        <v>70774.900199999989</v>
      </c>
      <c r="AE21" s="220">
        <f t="shared" si="25"/>
        <v>8492.9880239999984</v>
      </c>
      <c r="AF21" s="220">
        <f t="shared" si="26"/>
        <v>15570.478043999998</v>
      </c>
      <c r="AG21" s="220">
        <f t="shared" si="27"/>
        <v>25478.964071999999</v>
      </c>
      <c r="AH21" s="220">
        <f t="shared" si="28"/>
        <v>38558.165628959992</v>
      </c>
      <c r="AI21" s="221">
        <f t="shared" si="29"/>
        <v>109333.06582895998</v>
      </c>
      <c r="AJ21" s="220">
        <f t="shared" si="30"/>
        <v>31140.956087999995</v>
      </c>
      <c r="AK21" s="220">
        <f t="shared" si="31"/>
        <v>51750.607026239995</v>
      </c>
      <c r="AL21" s="220">
        <f t="shared" si="32"/>
        <v>58828.09704624</v>
      </c>
      <c r="AM21" s="304">
        <f t="shared" si="33"/>
        <v>8889.327465119999</v>
      </c>
      <c r="AN21" s="304">
        <f t="shared" si="34"/>
        <v>14183.290000079998</v>
      </c>
      <c r="AO21" s="334">
        <f t="shared" si="42"/>
        <v>202404.890587968</v>
      </c>
      <c r="AP21" s="217">
        <f t="shared" si="35"/>
        <v>17811.630371741183</v>
      </c>
      <c r="AQ21" s="338">
        <f t="shared" si="36"/>
        <v>220216.52095970919</v>
      </c>
      <c r="AR21" s="340">
        <f t="shared" si="37"/>
        <v>9249.9034998701391</v>
      </c>
      <c r="AS21" s="347">
        <f t="shared" si="38"/>
        <v>229466.42445957931</v>
      </c>
      <c r="AT21" s="339">
        <f t="shared" si="39"/>
        <v>20159.527102561613</v>
      </c>
      <c r="AU21" s="673">
        <f t="shared" si="40"/>
        <v>260110.52489459768</v>
      </c>
      <c r="AV21" s="1093">
        <f t="shared" si="41"/>
        <v>8096.1956235187199</v>
      </c>
      <c r="AW21" s="1094"/>
      <c r="AX21" s="160"/>
      <c r="AY21" s="656"/>
      <c r="AZ21" s="308"/>
      <c r="BA21" s="308"/>
    </row>
    <row r="22" spans="1:53" ht="24.95" customHeight="1" thickBot="1" x14ac:dyDescent="0.3">
      <c r="A22" s="1098"/>
      <c r="B22" s="1098"/>
      <c r="C22" s="1098"/>
      <c r="D22" s="1098"/>
      <c r="E22" s="1098"/>
      <c r="F22" s="1098"/>
      <c r="G22" s="1098"/>
      <c r="H22" s="1098"/>
      <c r="I22" s="1098"/>
      <c r="J22" s="1098"/>
      <c r="K22" s="1098"/>
      <c r="L22" s="1098"/>
      <c r="M22" s="1098"/>
      <c r="N22" s="1098"/>
      <c r="O22" s="1098"/>
      <c r="P22" s="1098"/>
      <c r="Q22" s="1098"/>
      <c r="R22" s="1098"/>
      <c r="S22" s="1098"/>
      <c r="T22" s="1098"/>
      <c r="U22" s="1098"/>
      <c r="V22" s="1098"/>
      <c r="W22" s="1098"/>
      <c r="X22" s="1098"/>
      <c r="Y22" s="1098"/>
      <c r="Z22" s="1098"/>
      <c r="AA22" s="1098"/>
      <c r="AB22" s="1098"/>
      <c r="AC22" s="1098"/>
      <c r="AD22" s="1098"/>
      <c r="AE22" s="1098"/>
      <c r="AF22" s="1098"/>
      <c r="AG22" s="1098"/>
      <c r="AH22" s="1098"/>
      <c r="AI22" s="1098"/>
      <c r="AJ22" s="1098"/>
      <c r="AK22" s="1098"/>
      <c r="AL22" s="1098"/>
      <c r="AM22" s="1098"/>
      <c r="AN22" s="1098"/>
      <c r="AO22" s="1098"/>
      <c r="AP22" s="1098"/>
      <c r="AQ22" s="1098"/>
      <c r="AR22" s="1098"/>
      <c r="AS22" s="1098"/>
      <c r="AT22" s="1098"/>
      <c r="AU22" s="1098"/>
      <c r="AV22" s="1098"/>
      <c r="AW22" s="1098"/>
      <c r="AX22" s="1098"/>
      <c r="AY22" s="1098"/>
      <c r="AZ22" s="1098"/>
      <c r="BA22" s="1098"/>
    </row>
    <row r="23" spans="1:53" ht="24.95" customHeight="1" x14ac:dyDescent="0.25">
      <c r="A23" s="1193" t="s">
        <v>14</v>
      </c>
      <c r="B23" s="1194"/>
      <c r="C23" s="1194"/>
      <c r="D23" s="93"/>
      <c r="E23" s="94"/>
      <c r="F23" s="93"/>
      <c r="G23" s="93"/>
      <c r="H23" s="93"/>
      <c r="I23" s="93"/>
      <c r="J23" s="222"/>
      <c r="K23" s="223">
        <f>J23*30/100+J23</f>
        <v>0</v>
      </c>
      <c r="L23" s="223">
        <f>J23*45/100+J23</f>
        <v>0</v>
      </c>
      <c r="M23" s="222">
        <v>773</v>
      </c>
      <c r="N23" s="222">
        <v>840</v>
      </c>
      <c r="O23" s="222">
        <v>907</v>
      </c>
      <c r="P23" s="222">
        <v>1060</v>
      </c>
      <c r="Q23" s="223">
        <f t="shared" ref="Q23:Q28" si="61">(P23*10)/100+P23</f>
        <v>1166</v>
      </c>
      <c r="R23" s="223">
        <f t="shared" ref="R23:R28" si="62">(P23*20)/100+P23</f>
        <v>1272</v>
      </c>
      <c r="S23" s="223">
        <f t="shared" ref="S23:S28" si="63">(P23*30)/100+P23</f>
        <v>1378</v>
      </c>
      <c r="T23" s="224">
        <f>P23*15/100</f>
        <v>159</v>
      </c>
      <c r="U23" s="224">
        <f>P23*30/100</f>
        <v>318</v>
      </c>
      <c r="V23" s="225">
        <f>P23*60/100+P23</f>
        <v>1696</v>
      </c>
      <c r="W23" s="224">
        <f>P23*10/100</f>
        <v>106</v>
      </c>
      <c r="X23" s="224">
        <f>P23*20/100</f>
        <v>212</v>
      </c>
      <c r="Y23" s="226">
        <f>P23*39/100</f>
        <v>413.4</v>
      </c>
      <c r="Z23" s="226">
        <f t="shared" ref="Z23:Z28" si="64">P23*9.8/100</f>
        <v>103.88</v>
      </c>
      <c r="AA23" s="195">
        <f>P23*108.8/100+P23</f>
        <v>2213.2799999999997</v>
      </c>
      <c r="AB23" s="273">
        <f>AA23*11/100+AA23</f>
        <v>2456.7407999999996</v>
      </c>
      <c r="AC23" s="274">
        <f>AA23*25/100+AA23</f>
        <v>2766.5999999999995</v>
      </c>
      <c r="AD23" s="275">
        <f t="shared" si="24"/>
        <v>2766.5999999999995</v>
      </c>
      <c r="AE23" s="276">
        <f>AA23*15/100+AA23</f>
        <v>2545.2719999999999</v>
      </c>
      <c r="AF23" s="276">
        <f>AA23*27.5/100+AA23</f>
        <v>2821.9319999999998</v>
      </c>
      <c r="AG23" s="276">
        <f>AA23*45/100+AA23</f>
        <v>3209.2559999999994</v>
      </c>
      <c r="AH23" s="276">
        <f>AA23*68.1/100</f>
        <v>1507.2436799999996</v>
      </c>
      <c r="AI23" s="277">
        <f>AA23*93.1/100+AA23</f>
        <v>4273.8436799999999</v>
      </c>
      <c r="AJ23" s="276">
        <f>AA23*55/100+AA23</f>
        <v>3430.5839999999998</v>
      </c>
      <c r="AK23" s="276">
        <f>AA23*91.4/100</f>
        <v>2022.9379199999998</v>
      </c>
      <c r="AL23" s="276">
        <f>AA23*103.9/100+AA23</f>
        <v>4512.877919999999</v>
      </c>
      <c r="AM23" s="305">
        <f>AA23*15.7/100</f>
        <v>347.48495999999994</v>
      </c>
      <c r="AN23" s="305">
        <f>AA23*25.05/100/100</f>
        <v>5.5442664000000006</v>
      </c>
      <c r="AO23" s="665">
        <f>AA23*257.48/100+AA23</f>
        <v>7912.0333439999995</v>
      </c>
      <c r="AP23" s="666">
        <f>AO23*8.8/100</f>
        <v>696.25893427200003</v>
      </c>
      <c r="AQ23" s="667">
        <f>AO23*8.8/100+AO23</f>
        <v>8608.2922782719997</v>
      </c>
      <c r="AR23" s="666">
        <f>AO23*4.57/100</f>
        <v>361.57992382080005</v>
      </c>
      <c r="AS23" s="668">
        <f>AO23*13.37/100+AO23</f>
        <v>8969.8722020927999</v>
      </c>
      <c r="AT23" s="666">
        <f>AO23*9.96/100</f>
        <v>788.03852106239992</v>
      </c>
      <c r="AU23" s="669">
        <f>AO23*28.51/100+AO23</f>
        <v>10167.754050374399</v>
      </c>
      <c r="AV23" s="670">
        <f>AO23*4/100</f>
        <v>316.48133375999998</v>
      </c>
      <c r="AW23" s="671">
        <f>AO23*32.51/100+AO23</f>
        <v>10484.235384134399</v>
      </c>
      <c r="AX23" s="160"/>
      <c r="AY23" s="656"/>
      <c r="AZ23" s="308"/>
      <c r="BA23" s="308"/>
    </row>
    <row r="24" spans="1:53" ht="24.95" customHeight="1" x14ac:dyDescent="0.25">
      <c r="A24" s="1177" t="s">
        <v>15</v>
      </c>
      <c r="B24" s="1178"/>
      <c r="C24" s="1178"/>
      <c r="D24" s="19">
        <v>2788</v>
      </c>
      <c r="E24" s="20">
        <v>3485</v>
      </c>
      <c r="F24" s="19">
        <v>3834</v>
      </c>
      <c r="G24" s="19">
        <v>4148</v>
      </c>
      <c r="H24" s="19">
        <f t="shared" ref="H24:H28" si="65">E24*23.2/100+E24</f>
        <v>4293.5200000000004</v>
      </c>
      <c r="I24" s="19">
        <f t="shared" ref="I24:I28" si="66">E24*32.2/100+E24</f>
        <v>4607.17</v>
      </c>
      <c r="J24" s="227">
        <f t="shared" ref="J24:J28" si="67">E24*45.7/100+E24</f>
        <v>5077.6450000000004</v>
      </c>
      <c r="K24" s="228">
        <f t="shared" ref="K24:K28" si="68">J24*30/100+J24</f>
        <v>6600.9385000000002</v>
      </c>
      <c r="L24" s="228">
        <v>7364</v>
      </c>
      <c r="M24" s="227">
        <f t="shared" ref="M24:M28" si="69">L24*15/100+L24</f>
        <v>8468.6</v>
      </c>
      <c r="N24" s="227">
        <f t="shared" ref="N24:N28" si="70">L24*25/100+L24</f>
        <v>9205</v>
      </c>
      <c r="O24" s="227">
        <v>9941</v>
      </c>
      <c r="P24" s="227">
        <v>11621.13</v>
      </c>
      <c r="Q24" s="228">
        <f t="shared" si="61"/>
        <v>12783.242999999999</v>
      </c>
      <c r="R24" s="228">
        <f t="shared" si="62"/>
        <v>13945.356</v>
      </c>
      <c r="S24" s="228">
        <f t="shared" si="63"/>
        <v>15107.468999999999</v>
      </c>
      <c r="T24" s="229">
        <f t="shared" ref="T24:T27" si="71">P24*15/100</f>
        <v>1743.1694999999997</v>
      </c>
      <c r="U24" s="229">
        <f t="shared" ref="U24:U27" si="72">P24*30/100</f>
        <v>3486.3389999999995</v>
      </c>
      <c r="V24" s="171">
        <f t="shared" ref="V24:V27" si="73">P24*60/100+P24</f>
        <v>18593.807999999997</v>
      </c>
      <c r="W24" s="229">
        <f t="shared" ref="W24:W27" si="74">P24*10/100</f>
        <v>1162.1129999999998</v>
      </c>
      <c r="X24" s="229">
        <f t="shared" ref="X24:X27" si="75">P24*20/100</f>
        <v>2324.2259999999997</v>
      </c>
      <c r="Y24" s="230">
        <f t="shared" ref="Y24:Y28" si="76">P24*39/100</f>
        <v>4532.2406999999994</v>
      </c>
      <c r="Z24" s="230">
        <f t="shared" si="64"/>
        <v>1138.8707399999998</v>
      </c>
      <c r="AA24" s="209">
        <f>P24*108.8/100+P24</f>
        <v>24264.919439999998</v>
      </c>
      <c r="AB24" s="278">
        <f t="shared" ref="AB24:AB28" si="77">AA24*11/100+AA24</f>
        <v>26934.0605784</v>
      </c>
      <c r="AC24" s="198">
        <f t="shared" ref="AC24:AC28" si="78">AA24*25/100+AA24</f>
        <v>30331.149299999997</v>
      </c>
      <c r="AD24" s="198">
        <v>30332</v>
      </c>
      <c r="AE24" s="231">
        <f t="shared" ref="AE24:AE27" si="79">AA24*40/100+AA24</f>
        <v>33970.887215999996</v>
      </c>
      <c r="AF24" s="231">
        <f t="shared" ref="AF24:AF29" si="80">AA24*52.5/100+AA24</f>
        <v>37004.002145999999</v>
      </c>
      <c r="AG24" s="231">
        <f>AA24*70/100+AA24</f>
        <v>41250.363047999999</v>
      </c>
      <c r="AH24" s="231">
        <f>AA24*93.1/100+AA24</f>
        <v>46855.55943863999</v>
      </c>
      <c r="AI24" s="1176">
        <f>AA24*148.1/100+AA24</f>
        <v>60201.265130639993</v>
      </c>
      <c r="AJ24" s="1176"/>
      <c r="AK24" s="298">
        <f>AA24*184.5/100+AA24</f>
        <v>69033.695806799995</v>
      </c>
      <c r="AL24" s="231">
        <f>AA24*197/100+AA24</f>
        <v>72066.810736799991</v>
      </c>
      <c r="AM24" s="306"/>
      <c r="AN24" s="306"/>
      <c r="AO24" s="665">
        <f t="shared" ref="AO24:AO29" si="81">AA24*257.48/100+AA24</f>
        <v>86742.234014111993</v>
      </c>
      <c r="AP24" s="668">
        <f t="shared" ref="AP24:AP29" si="82">AO24*8.8/100+AO24</f>
        <v>94375.550607353856</v>
      </c>
      <c r="AQ24" s="1112">
        <f>AO24*4.57/100+AP24</f>
        <v>98339.670701798779</v>
      </c>
      <c r="AR24" s="1112"/>
      <c r="AS24" s="668">
        <f t="shared" ref="AS24:AS29" si="83">AO24*13.37/100+AO24</f>
        <v>98339.670701798765</v>
      </c>
      <c r="AT24" s="1111">
        <f>AO24*28.51/100+AO24</f>
        <v>111472.44493153533</v>
      </c>
      <c r="AU24" s="1111"/>
      <c r="AV24" s="1097">
        <f>AO24*32.51/100+AO24</f>
        <v>114942.1342920998</v>
      </c>
      <c r="AW24" s="1097"/>
      <c r="AX24" s="160"/>
      <c r="AY24" s="656"/>
      <c r="AZ24" s="308"/>
      <c r="BA24" s="308"/>
    </row>
    <row r="25" spans="1:53" ht="24.95" customHeight="1" x14ac:dyDescent="0.25">
      <c r="A25" s="1177" t="s">
        <v>206</v>
      </c>
      <c r="B25" s="1178"/>
      <c r="C25" s="1178"/>
      <c r="D25" s="19">
        <v>3148</v>
      </c>
      <c r="E25" s="20">
        <v>3485</v>
      </c>
      <c r="F25" s="19">
        <v>3834</v>
      </c>
      <c r="G25" s="19">
        <v>4148</v>
      </c>
      <c r="H25" s="19">
        <v>4294</v>
      </c>
      <c r="I25" s="19">
        <v>4608</v>
      </c>
      <c r="J25" s="227">
        <v>5078</v>
      </c>
      <c r="K25" s="228">
        <f>(J25*30)/100+J25</f>
        <v>6601.4</v>
      </c>
      <c r="L25" s="228">
        <v>3543</v>
      </c>
      <c r="M25" s="227">
        <v>4075</v>
      </c>
      <c r="N25" s="227">
        <v>4429</v>
      </c>
      <c r="O25" s="227">
        <v>4783</v>
      </c>
      <c r="P25" s="227">
        <v>5591</v>
      </c>
      <c r="Q25" s="228">
        <f>(P25*10)/100+P25</f>
        <v>6150.1</v>
      </c>
      <c r="R25" s="228">
        <f>(P25*20)/100+P25</f>
        <v>6709.2</v>
      </c>
      <c r="S25" s="228">
        <f>(P25*30)/100+P25</f>
        <v>7268.3</v>
      </c>
      <c r="T25" s="229">
        <f t="shared" si="71"/>
        <v>838.65</v>
      </c>
      <c r="U25" s="229">
        <f t="shared" si="72"/>
        <v>1677.3</v>
      </c>
      <c r="V25" s="171">
        <f t="shared" si="73"/>
        <v>8945.6</v>
      </c>
      <c r="W25" s="229">
        <f t="shared" si="74"/>
        <v>559.1</v>
      </c>
      <c r="X25" s="229">
        <f t="shared" si="75"/>
        <v>1118.2</v>
      </c>
      <c r="Y25" s="230">
        <f t="shared" si="76"/>
        <v>2180.4899999999998</v>
      </c>
      <c r="Z25" s="230">
        <f t="shared" si="64"/>
        <v>547.91800000000001</v>
      </c>
      <c r="AA25" s="209">
        <f>P25*108.8/100+P25</f>
        <v>11674.007999999998</v>
      </c>
      <c r="AB25" s="278">
        <f t="shared" si="77"/>
        <v>12958.148879999997</v>
      </c>
      <c r="AC25" s="198">
        <f t="shared" si="78"/>
        <v>14592.509999999998</v>
      </c>
      <c r="AD25" s="198">
        <f t="shared" si="24"/>
        <v>14592.509999999998</v>
      </c>
      <c r="AE25" s="231">
        <f t="shared" si="79"/>
        <v>16343.611199999998</v>
      </c>
      <c r="AF25" s="231">
        <f t="shared" si="80"/>
        <v>17802.862199999996</v>
      </c>
      <c r="AG25" s="231">
        <f t="shared" ref="AG25:AG29" si="84">AA25*70/100+AA25</f>
        <v>19845.813599999994</v>
      </c>
      <c r="AH25" s="231">
        <f t="shared" ref="AH25:AH29" si="85">AA25*93.1/100+AA25</f>
        <v>22542.509447999997</v>
      </c>
      <c r="AI25" s="1176">
        <f t="shared" ref="AI25:AI29" si="86">AA25*148.1/100+AA25</f>
        <v>28963.213847999996</v>
      </c>
      <c r="AJ25" s="1176"/>
      <c r="AK25" s="298">
        <f t="shared" ref="AK25:AK27" si="87">AA25*184.5/100+AA25</f>
        <v>33212.552759999991</v>
      </c>
      <c r="AL25" s="231">
        <f t="shared" ref="AL25:AL29" si="88">AA25*197/100+AA25</f>
        <v>34671.803759999995</v>
      </c>
      <c r="AM25" s="306"/>
      <c r="AN25" s="306"/>
      <c r="AO25" s="665">
        <f t="shared" si="81"/>
        <v>41732.243798399999</v>
      </c>
      <c r="AP25" s="668">
        <f t="shared" si="82"/>
        <v>45404.681252659197</v>
      </c>
      <c r="AQ25" s="1112">
        <f t="shared" ref="AQ25:AQ29" si="89">AO25*4.57/100+AP25</f>
        <v>47311.844794246077</v>
      </c>
      <c r="AR25" s="1112"/>
      <c r="AS25" s="668">
        <f t="shared" si="83"/>
        <v>47311.844794246077</v>
      </c>
      <c r="AT25" s="1111">
        <f t="shared" ref="AT25:AT29" si="90">AO25*28.51/100+AO25</f>
        <v>53630.106505323842</v>
      </c>
      <c r="AU25" s="1111"/>
      <c r="AV25" s="1097">
        <f t="shared" ref="AV25:AV29" si="91">AO25*32.51/100+AO25</f>
        <v>55299.396257259839</v>
      </c>
      <c r="AW25" s="1097"/>
      <c r="AX25" s="160"/>
      <c r="AY25" s="656"/>
      <c r="AZ25" s="308"/>
      <c r="BA25" s="308"/>
    </row>
    <row r="26" spans="1:53" ht="24.95" customHeight="1" x14ac:dyDescent="0.25">
      <c r="A26" s="1177" t="s">
        <v>16</v>
      </c>
      <c r="B26" s="1178"/>
      <c r="C26" s="1178"/>
      <c r="D26" s="19">
        <v>1966</v>
      </c>
      <c r="E26" s="20">
        <v>2178</v>
      </c>
      <c r="F26" s="19">
        <v>2396</v>
      </c>
      <c r="G26" s="19">
        <v>2592</v>
      </c>
      <c r="H26" s="19">
        <f t="shared" si="65"/>
        <v>2683.2959999999998</v>
      </c>
      <c r="I26" s="19">
        <f t="shared" si="66"/>
        <v>2879.3159999999998</v>
      </c>
      <c r="J26" s="227">
        <f t="shared" si="67"/>
        <v>3173.346</v>
      </c>
      <c r="K26" s="228">
        <f t="shared" si="68"/>
        <v>4125.3498</v>
      </c>
      <c r="L26" s="228">
        <f t="shared" ref="L26:L28" si="92">J26*45/100+J26</f>
        <v>4601.3517000000002</v>
      </c>
      <c r="M26" s="227">
        <f t="shared" si="69"/>
        <v>5291.5544550000004</v>
      </c>
      <c r="N26" s="227">
        <f t="shared" si="70"/>
        <v>5751.689625</v>
      </c>
      <c r="O26" s="227">
        <f t="shared" ref="O26:O28" si="93">L26*35/100+L26</f>
        <v>6211.8247950000004</v>
      </c>
      <c r="P26" s="227">
        <f t="shared" ref="P26:P28" si="94">(L26*57.82)/100+L26</f>
        <v>7261.8532529399999</v>
      </c>
      <c r="Q26" s="228">
        <f t="shared" si="61"/>
        <v>7988.0385782339999</v>
      </c>
      <c r="R26" s="228">
        <f t="shared" si="62"/>
        <v>8714.2239035279999</v>
      </c>
      <c r="S26" s="228">
        <f t="shared" si="63"/>
        <v>9440.4092288219999</v>
      </c>
      <c r="T26" s="229">
        <f t="shared" si="71"/>
        <v>1089.277987941</v>
      </c>
      <c r="U26" s="229">
        <f t="shared" si="72"/>
        <v>2178.555975882</v>
      </c>
      <c r="V26" s="171">
        <f t="shared" si="73"/>
        <v>11618.965204704</v>
      </c>
      <c r="W26" s="229">
        <f t="shared" si="74"/>
        <v>726.18532529399988</v>
      </c>
      <c r="X26" s="229">
        <f t="shared" si="75"/>
        <v>1452.3706505879998</v>
      </c>
      <c r="Y26" s="230">
        <f t="shared" si="76"/>
        <v>2832.1227686465995</v>
      </c>
      <c r="Z26" s="230">
        <f t="shared" si="64"/>
        <v>711.66161878812011</v>
      </c>
      <c r="AA26" s="209">
        <v>15163.75</v>
      </c>
      <c r="AB26" s="278">
        <f t="shared" si="77"/>
        <v>16831.762500000001</v>
      </c>
      <c r="AC26" s="198">
        <f t="shared" si="78"/>
        <v>18954.6875</v>
      </c>
      <c r="AD26" s="198">
        <f t="shared" si="24"/>
        <v>18954.6875</v>
      </c>
      <c r="AE26" s="231">
        <f t="shared" si="79"/>
        <v>21229.25</v>
      </c>
      <c r="AF26" s="231">
        <f t="shared" si="80"/>
        <v>23124.71875</v>
      </c>
      <c r="AG26" s="231">
        <f t="shared" si="84"/>
        <v>25778.375</v>
      </c>
      <c r="AH26" s="231">
        <f t="shared" si="85"/>
        <v>29281.201249999998</v>
      </c>
      <c r="AI26" s="1176">
        <f t="shared" si="86"/>
        <v>37621.263749999998</v>
      </c>
      <c r="AJ26" s="1176"/>
      <c r="AK26" s="298">
        <f t="shared" si="87"/>
        <v>43140.868750000001</v>
      </c>
      <c r="AL26" s="231">
        <f t="shared" si="88"/>
        <v>45036.337500000001</v>
      </c>
      <c r="AM26" s="306"/>
      <c r="AN26" s="306"/>
      <c r="AO26" s="665">
        <f t="shared" si="81"/>
        <v>54207.373500000002</v>
      </c>
      <c r="AP26" s="668">
        <f t="shared" si="82"/>
        <v>58977.622368000004</v>
      </c>
      <c r="AQ26" s="1112">
        <f t="shared" si="89"/>
        <v>61454.899336950002</v>
      </c>
      <c r="AR26" s="1112"/>
      <c r="AS26" s="668">
        <f t="shared" si="83"/>
        <v>61454.899336950002</v>
      </c>
      <c r="AT26" s="1111">
        <f t="shared" si="90"/>
        <v>69661.895684849995</v>
      </c>
      <c r="AU26" s="1111"/>
      <c r="AV26" s="1097">
        <f t="shared" si="91"/>
        <v>71830.190624850002</v>
      </c>
      <c r="AW26" s="1097"/>
      <c r="AX26" s="160"/>
      <c r="AY26" s="656"/>
      <c r="AZ26" s="308"/>
      <c r="BA26" s="308"/>
    </row>
    <row r="27" spans="1:53" ht="24.95" customHeight="1" x14ac:dyDescent="0.25">
      <c r="A27" s="1177" t="s">
        <v>17</v>
      </c>
      <c r="B27" s="1178"/>
      <c r="C27" s="1178"/>
      <c r="D27" s="19">
        <v>7995</v>
      </c>
      <c r="E27" s="20">
        <v>8851</v>
      </c>
      <c r="F27" s="19">
        <v>9736</v>
      </c>
      <c r="G27" s="19">
        <v>10533</v>
      </c>
      <c r="H27" s="19">
        <f t="shared" si="65"/>
        <v>10904.432000000001</v>
      </c>
      <c r="I27" s="19">
        <f t="shared" si="66"/>
        <v>11701.022000000001</v>
      </c>
      <c r="J27" s="227">
        <f t="shared" si="67"/>
        <v>12895.906999999999</v>
      </c>
      <c r="K27" s="228">
        <f t="shared" si="68"/>
        <v>16764.679099999998</v>
      </c>
      <c r="L27" s="228">
        <f t="shared" si="92"/>
        <v>18699.065149999999</v>
      </c>
      <c r="M27" s="227">
        <f t="shared" si="69"/>
        <v>21503.924922499999</v>
      </c>
      <c r="N27" s="227">
        <f t="shared" si="70"/>
        <v>23373.831437499997</v>
      </c>
      <c r="O27" s="227">
        <f t="shared" si="93"/>
        <v>25243.7379525</v>
      </c>
      <c r="P27" s="227">
        <f t="shared" si="94"/>
        <v>29510.864619729997</v>
      </c>
      <c r="Q27" s="228">
        <f t="shared" si="61"/>
        <v>32461.951081702995</v>
      </c>
      <c r="R27" s="228">
        <f t="shared" si="62"/>
        <v>35413.037543675993</v>
      </c>
      <c r="S27" s="228">
        <f t="shared" si="63"/>
        <v>38364.124005648999</v>
      </c>
      <c r="T27" s="229">
        <f t="shared" si="71"/>
        <v>4426.6296929595001</v>
      </c>
      <c r="U27" s="229">
        <f t="shared" si="72"/>
        <v>8853.2593859190001</v>
      </c>
      <c r="V27" s="171">
        <f t="shared" si="73"/>
        <v>47217.383391568001</v>
      </c>
      <c r="W27" s="229">
        <f t="shared" si="74"/>
        <v>2951.0864619729996</v>
      </c>
      <c r="X27" s="229">
        <f t="shared" si="75"/>
        <v>5902.1729239459992</v>
      </c>
      <c r="Y27" s="230">
        <f t="shared" si="76"/>
        <v>11509.237201694699</v>
      </c>
      <c r="Z27" s="230">
        <f t="shared" si="64"/>
        <v>2892.06473273354</v>
      </c>
      <c r="AA27" s="209">
        <v>61620</v>
      </c>
      <c r="AB27" s="278">
        <f t="shared" si="77"/>
        <v>68398.2</v>
      </c>
      <c r="AC27" s="198">
        <f t="shared" si="78"/>
        <v>77025</v>
      </c>
      <c r="AD27" s="198">
        <f t="shared" si="24"/>
        <v>77025</v>
      </c>
      <c r="AE27" s="231">
        <f t="shared" si="79"/>
        <v>86268</v>
      </c>
      <c r="AF27" s="231">
        <f t="shared" si="80"/>
        <v>93970.5</v>
      </c>
      <c r="AG27" s="231">
        <f t="shared" si="84"/>
        <v>104754</v>
      </c>
      <c r="AH27" s="231">
        <f t="shared" si="85"/>
        <v>118988.22</v>
      </c>
      <c r="AI27" s="1176">
        <f t="shared" si="86"/>
        <v>152879.22</v>
      </c>
      <c r="AJ27" s="1176"/>
      <c r="AK27" s="298">
        <f t="shared" si="87"/>
        <v>175308.9</v>
      </c>
      <c r="AL27" s="231">
        <f t="shared" si="88"/>
        <v>183011.4</v>
      </c>
      <c r="AM27" s="306"/>
      <c r="AN27" s="306"/>
      <c r="AO27" s="665">
        <f t="shared" si="81"/>
        <v>220279.17600000001</v>
      </c>
      <c r="AP27" s="668">
        <f t="shared" si="82"/>
        <v>239663.74348800001</v>
      </c>
      <c r="AQ27" s="1112">
        <f t="shared" si="89"/>
        <v>249730.5018312</v>
      </c>
      <c r="AR27" s="1112"/>
      <c r="AS27" s="668">
        <f t="shared" si="83"/>
        <v>249730.5018312</v>
      </c>
      <c r="AT27" s="1111">
        <f t="shared" si="90"/>
        <v>283080.76907759998</v>
      </c>
      <c r="AU27" s="1111"/>
      <c r="AV27" s="1097">
        <f t="shared" si="91"/>
        <v>291891.93611760001</v>
      </c>
      <c r="AW27" s="1097"/>
      <c r="AX27" s="160"/>
      <c r="AY27" s="656"/>
      <c r="AZ27" s="308"/>
      <c r="BA27" s="308"/>
    </row>
    <row r="28" spans="1:53" ht="24.95" customHeight="1" x14ac:dyDescent="0.25">
      <c r="A28" s="1177" t="s">
        <v>18</v>
      </c>
      <c r="B28" s="1178"/>
      <c r="C28" s="1178"/>
      <c r="D28" s="19">
        <v>432</v>
      </c>
      <c r="E28" s="20">
        <v>479</v>
      </c>
      <c r="F28" s="19">
        <v>527</v>
      </c>
      <c r="G28" s="19">
        <v>570</v>
      </c>
      <c r="H28" s="19">
        <f t="shared" si="65"/>
        <v>590.12799999999993</v>
      </c>
      <c r="I28" s="19">
        <f t="shared" si="66"/>
        <v>633.23800000000006</v>
      </c>
      <c r="J28" s="227">
        <f t="shared" si="67"/>
        <v>697.90300000000002</v>
      </c>
      <c r="K28" s="228">
        <f t="shared" si="68"/>
        <v>907.27390000000003</v>
      </c>
      <c r="L28" s="228">
        <f t="shared" si="92"/>
        <v>1011.9593500000001</v>
      </c>
      <c r="M28" s="227">
        <f t="shared" si="69"/>
        <v>1163.7532525000001</v>
      </c>
      <c r="N28" s="227">
        <f t="shared" si="70"/>
        <v>1264.9491875000001</v>
      </c>
      <c r="O28" s="227">
        <f t="shared" si="93"/>
        <v>1366.1451225000001</v>
      </c>
      <c r="P28" s="227">
        <f t="shared" si="94"/>
        <v>1597.0742461700002</v>
      </c>
      <c r="Q28" s="228">
        <f t="shared" si="61"/>
        <v>1756.7816707870002</v>
      </c>
      <c r="R28" s="228">
        <f t="shared" si="62"/>
        <v>1916.4890954040002</v>
      </c>
      <c r="S28" s="228">
        <f t="shared" si="63"/>
        <v>2076.1965200210002</v>
      </c>
      <c r="T28" s="171">
        <f>P28*80/100+P28</f>
        <v>2874.7336431060003</v>
      </c>
      <c r="U28" s="143">
        <v>2874.7336431060003</v>
      </c>
      <c r="V28" s="143">
        <v>2874.7336431060003</v>
      </c>
      <c r="W28" s="143">
        <v>2875</v>
      </c>
      <c r="X28" s="143">
        <v>2875</v>
      </c>
      <c r="Y28" s="230">
        <f t="shared" si="76"/>
        <v>622.8589560063001</v>
      </c>
      <c r="Z28" s="230">
        <f t="shared" si="64"/>
        <v>156.51327612466002</v>
      </c>
      <c r="AA28" s="209">
        <f>P28*108.8/100+P28</f>
        <v>3334.6910260029604</v>
      </c>
      <c r="AB28" s="278">
        <f t="shared" si="77"/>
        <v>3701.5070388632862</v>
      </c>
      <c r="AC28" s="198">
        <f t="shared" si="78"/>
        <v>4168.3637825037003</v>
      </c>
      <c r="AD28" s="198">
        <v>6918.76</v>
      </c>
      <c r="AE28" s="198">
        <v>6918.76</v>
      </c>
      <c r="AF28" s="198">
        <v>6918.76</v>
      </c>
      <c r="AG28" s="231">
        <v>7418.91</v>
      </c>
      <c r="AH28" s="231">
        <v>7851</v>
      </c>
      <c r="AI28" s="1176">
        <v>9184</v>
      </c>
      <c r="AJ28" s="1176"/>
      <c r="AK28" s="298">
        <v>10396</v>
      </c>
      <c r="AL28" s="298">
        <v>10396</v>
      </c>
      <c r="AM28" s="320">
        <f>AA28*15.7/100</f>
        <v>523.54649108246474</v>
      </c>
      <c r="AN28" s="311">
        <f>AA28*25.05/100</f>
        <v>835.34010201374156</v>
      </c>
      <c r="AO28" s="665">
        <v>11911</v>
      </c>
      <c r="AP28" s="668">
        <f t="shared" si="82"/>
        <v>12959.168</v>
      </c>
      <c r="AQ28" s="1112">
        <f t="shared" si="89"/>
        <v>13503.500700000001</v>
      </c>
      <c r="AR28" s="1112"/>
      <c r="AS28" s="668">
        <f t="shared" si="83"/>
        <v>13503.500700000001</v>
      </c>
      <c r="AT28" s="1111">
        <f t="shared" si="90"/>
        <v>15306.8261</v>
      </c>
      <c r="AU28" s="1111"/>
      <c r="AV28" s="1097">
        <f t="shared" si="91"/>
        <v>15783.266100000001</v>
      </c>
      <c r="AW28" s="1097"/>
      <c r="AX28" s="160"/>
      <c r="AY28" s="656"/>
      <c r="AZ28" s="308"/>
      <c r="BA28" s="308"/>
    </row>
    <row r="29" spans="1:53" ht="25.5" customHeight="1" thickBot="1" x14ac:dyDescent="0.3">
      <c r="A29" s="1186" t="s">
        <v>254</v>
      </c>
      <c r="B29" s="1187"/>
      <c r="C29" s="1188"/>
      <c r="D29" s="95"/>
      <c r="E29" s="96"/>
      <c r="F29" s="95"/>
      <c r="G29" s="95"/>
      <c r="H29" s="95"/>
      <c r="I29" s="95"/>
      <c r="J29" s="232"/>
      <c r="K29" s="233"/>
      <c r="L29" s="233">
        <v>3544</v>
      </c>
      <c r="M29" s="232">
        <f>(L29*15/100)+L29</f>
        <v>4075.6</v>
      </c>
      <c r="N29" s="232">
        <f>(L29*10/100)+M29</f>
        <v>4430</v>
      </c>
      <c r="O29" s="232">
        <f>(L29*10/100)+N29</f>
        <v>4784.3999999999996</v>
      </c>
      <c r="P29" s="232">
        <f>(L29*22.8/100)+O29</f>
        <v>5592.4319999999998</v>
      </c>
      <c r="Q29" s="228">
        <f>(P29*10/100)+P29</f>
        <v>6151.6751999999997</v>
      </c>
      <c r="R29" s="228">
        <f t="shared" ref="R29" si="95">(P29*20)/100+P29</f>
        <v>6710.9183999999996</v>
      </c>
      <c r="S29" s="228">
        <f t="shared" ref="S29" si="96">(P29*30)/100+P29</f>
        <v>7270.1615999999995</v>
      </c>
      <c r="T29" s="234">
        <f>(P29*15/100)+S29</f>
        <v>8109.0263999999997</v>
      </c>
      <c r="U29" s="234">
        <f>(P29*15/100)+T29</f>
        <v>8947.8912</v>
      </c>
      <c r="V29" s="171">
        <f t="shared" ref="V29" si="97">P29*60/100+P29</f>
        <v>8947.8912</v>
      </c>
      <c r="W29" s="234">
        <f>(P29*10/100)+V29</f>
        <v>9507.1344000000008</v>
      </c>
      <c r="X29" s="234">
        <f>(P29*10/100)+W29</f>
        <v>10066.377600000002</v>
      </c>
      <c r="Y29" s="235">
        <f>(P29*19/100)+X29</f>
        <v>11128.939680000001</v>
      </c>
      <c r="Z29" s="235">
        <f>(P29*9.8/100)+Y29</f>
        <v>11676.998016000001</v>
      </c>
      <c r="AA29" s="218">
        <f>(P29*108.8/100)+P29</f>
        <v>11676.998016</v>
      </c>
      <c r="AB29" s="279">
        <f>AA29*11/100+AA29</f>
        <v>12961.46779776</v>
      </c>
      <c r="AC29" s="221">
        <f>AA29*25/100+AA29</f>
        <v>14596.247519999999</v>
      </c>
      <c r="AD29" s="221">
        <f>AA29*25/100+AA29</f>
        <v>14596.247519999999</v>
      </c>
      <c r="AE29" s="280">
        <f>AA29*40/100+AA29</f>
        <v>16347.7972224</v>
      </c>
      <c r="AF29" s="281">
        <f t="shared" si="80"/>
        <v>17807.4219744</v>
      </c>
      <c r="AG29" s="281">
        <f t="shared" si="84"/>
        <v>19850.8966272</v>
      </c>
      <c r="AH29" s="281">
        <f t="shared" si="85"/>
        <v>22548.283168896</v>
      </c>
      <c r="AI29" s="1195">
        <f t="shared" si="86"/>
        <v>28970.632077695998</v>
      </c>
      <c r="AJ29" s="1195"/>
      <c r="AK29" s="299">
        <v>33218</v>
      </c>
      <c r="AL29" s="281">
        <f t="shared" si="88"/>
        <v>34680.684107519999</v>
      </c>
      <c r="AM29" s="307"/>
      <c r="AN29" s="307"/>
      <c r="AO29" s="665">
        <f t="shared" si="81"/>
        <v>41742.932507596801</v>
      </c>
      <c r="AP29" s="668">
        <f t="shared" si="82"/>
        <v>45416.310568265319</v>
      </c>
      <c r="AQ29" s="1112">
        <f t="shared" si="89"/>
        <v>47323.962583862492</v>
      </c>
      <c r="AR29" s="1112"/>
      <c r="AS29" s="668">
        <f t="shared" si="83"/>
        <v>47323.962583862492</v>
      </c>
      <c r="AT29" s="1111">
        <f t="shared" si="90"/>
        <v>53643.842565512648</v>
      </c>
      <c r="AU29" s="1111"/>
      <c r="AV29" s="1097">
        <f t="shared" si="91"/>
        <v>55313.559865816518</v>
      </c>
      <c r="AW29" s="1097"/>
      <c r="AX29" s="160"/>
      <c r="AY29" s="656"/>
      <c r="AZ29" s="308"/>
      <c r="BA29" s="308"/>
    </row>
    <row r="30" spans="1:53" x14ac:dyDescent="0.25">
      <c r="A30" s="1175"/>
      <c r="B30" s="1175"/>
      <c r="C30" s="1175"/>
      <c r="D30" s="3"/>
      <c r="E30" s="3"/>
      <c r="F30" s="3"/>
      <c r="G30" s="236"/>
      <c r="H30" s="236"/>
    </row>
    <row r="31" spans="1:53" ht="15.75" thickBot="1" x14ac:dyDescent="0.3">
      <c r="AB31" s="269"/>
    </row>
    <row r="32" spans="1:53" ht="21.75" thickBot="1" x14ac:dyDescent="0.4">
      <c r="A32" s="1082" t="s">
        <v>81</v>
      </c>
      <c r="B32" s="1083"/>
      <c r="C32" s="1084"/>
      <c r="D32" s="1076" t="s">
        <v>81</v>
      </c>
      <c r="E32" s="1077"/>
      <c r="F32" s="1078"/>
      <c r="G32" s="1042" t="s">
        <v>81</v>
      </c>
      <c r="H32" s="1043"/>
      <c r="I32" s="1043"/>
      <c r="J32" s="1043"/>
      <c r="K32" s="1046" t="s">
        <v>81</v>
      </c>
      <c r="L32" s="1047"/>
      <c r="M32" s="1047"/>
      <c r="N32" s="1047"/>
      <c r="O32" s="1047"/>
      <c r="P32" s="1047"/>
      <c r="Q32" s="1047"/>
      <c r="R32" s="1048"/>
      <c r="S32" s="1049" t="s">
        <v>288</v>
      </c>
      <c r="T32" s="1196" t="s">
        <v>297</v>
      </c>
      <c r="U32" s="1197"/>
      <c r="V32" s="1197"/>
      <c r="W32" s="1197"/>
      <c r="X32" s="1197"/>
      <c r="Y32" s="1197"/>
    </row>
    <row r="33" spans="1:51" ht="15.75" thickBot="1" x14ac:dyDescent="0.3">
      <c r="A33" s="282" t="s">
        <v>82</v>
      </c>
      <c r="B33" s="283">
        <v>2019</v>
      </c>
      <c r="C33" s="284">
        <v>2020</v>
      </c>
      <c r="D33" s="1079">
        <v>2021</v>
      </c>
      <c r="E33" s="1080"/>
      <c r="F33" s="1081"/>
      <c r="G33" s="1006">
        <v>2022</v>
      </c>
      <c r="H33" s="1007"/>
      <c r="I33" s="1007"/>
      <c r="J33" s="1007"/>
      <c r="K33" s="1051">
        <v>2023</v>
      </c>
      <c r="L33" s="1052"/>
      <c r="M33" s="1052"/>
      <c r="N33" s="1052"/>
      <c r="O33" s="1052"/>
      <c r="P33" s="1052"/>
      <c r="Q33" s="1052"/>
      <c r="R33" s="1053"/>
      <c r="S33" s="1050"/>
      <c r="T33" s="1198">
        <v>2024</v>
      </c>
      <c r="U33" s="1199"/>
      <c r="V33" s="1199"/>
      <c r="W33" s="1199"/>
      <c r="X33" s="1199"/>
      <c r="Y33" s="1199"/>
    </row>
    <row r="34" spans="1:51" x14ac:dyDescent="0.25">
      <c r="A34" s="153" t="s">
        <v>83</v>
      </c>
      <c r="B34" s="154"/>
      <c r="C34" s="155"/>
      <c r="D34" s="285">
        <v>44378</v>
      </c>
      <c r="E34" s="286">
        <v>44774</v>
      </c>
      <c r="F34" s="335" t="s">
        <v>86</v>
      </c>
      <c r="G34" s="156">
        <v>44774</v>
      </c>
      <c r="H34" s="157">
        <v>44927</v>
      </c>
      <c r="I34" s="158">
        <v>45047</v>
      </c>
      <c r="J34" s="181" t="s">
        <v>236</v>
      </c>
      <c r="K34" s="322">
        <v>45047</v>
      </c>
      <c r="L34" s="336">
        <v>45139</v>
      </c>
      <c r="M34" s="336">
        <v>45231</v>
      </c>
      <c r="N34" s="336">
        <v>45261</v>
      </c>
      <c r="O34" s="1041">
        <v>45292</v>
      </c>
      <c r="P34" s="1041"/>
      <c r="Q34" s="336">
        <v>45323</v>
      </c>
      <c r="R34" s="323">
        <v>45383</v>
      </c>
      <c r="S34" s="1054">
        <v>478309</v>
      </c>
      <c r="T34" s="331" t="s">
        <v>298</v>
      </c>
      <c r="U34" s="330" t="s">
        <v>305</v>
      </c>
      <c r="V34" s="330" t="s">
        <v>340</v>
      </c>
      <c r="W34" s="330"/>
      <c r="X34" s="330"/>
      <c r="Y34" s="330"/>
    </row>
    <row r="35" spans="1:51" ht="15.75" thickBot="1" x14ac:dyDescent="0.3">
      <c r="A35" s="144" t="s">
        <v>84</v>
      </c>
      <c r="B35" s="145">
        <v>28000</v>
      </c>
      <c r="C35" s="146">
        <v>40600</v>
      </c>
      <c r="D35" s="287">
        <v>54800</v>
      </c>
      <c r="E35" s="288">
        <v>9267</v>
      </c>
      <c r="F35" s="289">
        <f>D35+E35</f>
        <v>64067</v>
      </c>
      <c r="G35" s="147">
        <f>(F35*30/100+F35)</f>
        <v>83287.100000000006</v>
      </c>
      <c r="H35" s="145">
        <f>F35*50/100</f>
        <v>32033.5</v>
      </c>
      <c r="I35" s="159">
        <f>F35*28.8/100</f>
        <v>18451.296000000002</v>
      </c>
      <c r="J35" s="182">
        <f>G35+H35+I35</f>
        <v>133771.89600000001</v>
      </c>
      <c r="K35" s="324">
        <f>J35*25/100+J35</f>
        <v>167214.87</v>
      </c>
      <c r="L35" s="326">
        <f>J35*82.5/100</f>
        <v>110361.81419999999</v>
      </c>
      <c r="M35" s="327">
        <f>J35*15/100</f>
        <v>20065.7844</v>
      </c>
      <c r="N35" s="327">
        <f>J35*13.1/100</f>
        <v>17524.118375999999</v>
      </c>
      <c r="O35" s="1091">
        <f>J35*40/100</f>
        <v>53508.758399999999</v>
      </c>
      <c r="P35" s="1092"/>
      <c r="Q35" s="327">
        <f>J35*36.4/100</f>
        <v>48692.970143999999</v>
      </c>
      <c r="R35" s="325">
        <f>J35*45.48/100</f>
        <v>60839.458300799997</v>
      </c>
      <c r="S35" s="1055"/>
      <c r="T35" s="332">
        <f>S34*8.8/100+S34</f>
        <v>520400.19199999998</v>
      </c>
      <c r="U35" s="175">
        <f>S34*4.57/100</f>
        <v>21858.721300000005</v>
      </c>
      <c r="V35" s="859">
        <v>72414</v>
      </c>
      <c r="W35" s="330"/>
      <c r="X35" s="330"/>
      <c r="Y35" s="330"/>
    </row>
    <row r="37" spans="1:51" s="237" customFormat="1" ht="15.75" thickBot="1" x14ac:dyDescent="0.3">
      <c r="A37" s="183"/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AU37" s="659"/>
      <c r="AX37" s="662"/>
      <c r="AY37" s="657"/>
    </row>
    <row r="38" spans="1:51" ht="16.5" thickBot="1" x14ac:dyDescent="0.3">
      <c r="A38" s="1070" t="s">
        <v>88</v>
      </c>
      <c r="B38" s="1071"/>
      <c r="C38" s="1071"/>
      <c r="D38" s="1071"/>
      <c r="E38" s="1071"/>
      <c r="F38" s="1071"/>
      <c r="G38" s="1071"/>
      <c r="H38" s="1071"/>
      <c r="I38" s="1071"/>
      <c r="J38" s="1071"/>
      <c r="K38" s="1071"/>
      <c r="L38" s="1071"/>
      <c r="M38" s="1071"/>
      <c r="N38" s="1072"/>
    </row>
    <row r="39" spans="1:51" ht="16.5" thickBot="1" x14ac:dyDescent="0.3">
      <c r="A39" s="1073" t="s">
        <v>85</v>
      </c>
      <c r="B39" s="1074"/>
      <c r="C39" s="1074"/>
      <c r="D39" s="1074"/>
      <c r="E39" s="1074"/>
      <c r="F39" s="1074"/>
      <c r="G39" s="1074"/>
      <c r="H39" s="1074"/>
      <c r="I39" s="1074"/>
      <c r="J39" s="1074"/>
      <c r="K39" s="1074"/>
      <c r="L39" s="1074"/>
      <c r="M39" s="1074"/>
      <c r="N39" s="1075"/>
    </row>
    <row r="40" spans="1:51" x14ac:dyDescent="0.25">
      <c r="A40" s="1064" t="s">
        <v>87</v>
      </c>
      <c r="B40" s="1065"/>
      <c r="C40" s="1065"/>
      <c r="D40" s="1065"/>
      <c r="E40" s="1065"/>
      <c r="F40" s="1065"/>
      <c r="G40" s="1065"/>
      <c r="H40" s="1065"/>
      <c r="I40" s="1065"/>
      <c r="J40" s="1065"/>
      <c r="K40" s="1065"/>
      <c r="L40" s="1065"/>
      <c r="M40" s="1065"/>
      <c r="N40" s="1066"/>
    </row>
    <row r="41" spans="1:51" ht="15.75" thickBot="1" x14ac:dyDescent="0.3">
      <c r="A41" s="1067"/>
      <c r="B41" s="1068"/>
      <c r="C41" s="1068"/>
      <c r="D41" s="1068"/>
      <c r="E41" s="1068"/>
      <c r="F41" s="1068"/>
      <c r="G41" s="1068"/>
      <c r="H41" s="1068"/>
      <c r="I41" s="1068"/>
      <c r="J41" s="1068"/>
      <c r="K41" s="1068"/>
      <c r="L41" s="1068"/>
      <c r="M41" s="1068"/>
      <c r="N41" s="1069"/>
    </row>
    <row r="55" ht="15" customHeight="1" x14ac:dyDescent="0.25"/>
    <row r="56" ht="15.75" customHeight="1" x14ac:dyDescent="0.25"/>
    <row r="58" ht="15.75" customHeight="1" x14ac:dyDescent="0.25"/>
  </sheetData>
  <mergeCells count="90">
    <mergeCell ref="S34:S35"/>
    <mergeCell ref="S32:S33"/>
    <mergeCell ref="AI29:AJ29"/>
    <mergeCell ref="AI28:AJ28"/>
    <mergeCell ref="O35:P35"/>
    <mergeCell ref="T32:Y32"/>
    <mergeCell ref="T33:Y33"/>
    <mergeCell ref="A12:A13"/>
    <mergeCell ref="B6:B9"/>
    <mergeCell ref="O34:P34"/>
    <mergeCell ref="A29:C29"/>
    <mergeCell ref="B18:B21"/>
    <mergeCell ref="A23:C23"/>
    <mergeCell ref="A24:C24"/>
    <mergeCell ref="B14:B17"/>
    <mergeCell ref="K33:R33"/>
    <mergeCell ref="B12:B13"/>
    <mergeCell ref="A26:C26"/>
    <mergeCell ref="A27:C27"/>
    <mergeCell ref="AI24:AJ24"/>
    <mergeCell ref="A25:C25"/>
    <mergeCell ref="A14:A17"/>
    <mergeCell ref="A18:A21"/>
    <mergeCell ref="A28:C28"/>
    <mergeCell ref="AI27:AJ27"/>
    <mergeCell ref="AI26:AJ26"/>
    <mergeCell ref="AI25:AJ25"/>
    <mergeCell ref="A40:N41"/>
    <mergeCell ref="A30:C30"/>
    <mergeCell ref="D33:F33"/>
    <mergeCell ref="A38:N38"/>
    <mergeCell ref="A39:N39"/>
    <mergeCell ref="A32:C32"/>
    <mergeCell ref="D32:F32"/>
    <mergeCell ref="G32:J32"/>
    <mergeCell ref="G33:J33"/>
    <mergeCell ref="K32:R32"/>
    <mergeCell ref="AB2:AN4"/>
    <mergeCell ref="A1:D4"/>
    <mergeCell ref="B10:B11"/>
    <mergeCell ref="M1:P1"/>
    <mergeCell ref="K2:L4"/>
    <mergeCell ref="M2:P4"/>
    <mergeCell ref="F1:J1"/>
    <mergeCell ref="K1:L1"/>
    <mergeCell ref="Q2:AA4"/>
    <mergeCell ref="Q1:AA1"/>
    <mergeCell ref="E2:E4"/>
    <mergeCell ref="F2:J4"/>
    <mergeCell ref="A6:A9"/>
    <mergeCell ref="A10:A11"/>
    <mergeCell ref="AB1:AN1"/>
    <mergeCell ref="AQ24:AR24"/>
    <mergeCell ref="AQ29:AR29"/>
    <mergeCell ref="AQ28:AR28"/>
    <mergeCell ref="AQ27:AR27"/>
    <mergeCell ref="AQ26:AR26"/>
    <mergeCell ref="AQ25:AR25"/>
    <mergeCell ref="AO1:BA1"/>
    <mergeCell ref="AO2:BA4"/>
    <mergeCell ref="AT29:AU29"/>
    <mergeCell ref="AT28:AU28"/>
    <mergeCell ref="AT27:AU27"/>
    <mergeCell ref="AT26:AU26"/>
    <mergeCell ref="AT25:AU25"/>
    <mergeCell ref="AT24:AU24"/>
    <mergeCell ref="AV21:AW21"/>
    <mergeCell ref="AV20:AW20"/>
    <mergeCell ref="AV19:AW19"/>
    <mergeCell ref="AV18:AW18"/>
    <mergeCell ref="AV17:AW17"/>
    <mergeCell ref="AV16:AW16"/>
    <mergeCell ref="AV15:AW15"/>
    <mergeCell ref="AV14:AW14"/>
    <mergeCell ref="AV8:AW8"/>
    <mergeCell ref="AV7:AW7"/>
    <mergeCell ref="AV6:AW6"/>
    <mergeCell ref="AV5:AW5"/>
    <mergeCell ref="AV29:AW29"/>
    <mergeCell ref="AV28:AW28"/>
    <mergeCell ref="AV27:AW27"/>
    <mergeCell ref="AV26:AW26"/>
    <mergeCell ref="AV25:AW25"/>
    <mergeCell ref="AV24:AW24"/>
    <mergeCell ref="A22:BA22"/>
    <mergeCell ref="AV13:AW13"/>
    <mergeCell ref="AV12:AW12"/>
    <mergeCell ref="AV11:AW11"/>
    <mergeCell ref="AV10:AW10"/>
    <mergeCell ref="AV9:AW9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70"/>
  <sheetViews>
    <sheetView topLeftCell="AL1" zoomScaleNormal="100" workbookViewId="0">
      <selection activeCell="L4" sqref="L4:L5"/>
    </sheetView>
  </sheetViews>
  <sheetFormatPr baseColWidth="10" defaultRowHeight="15" x14ac:dyDescent="0.25"/>
  <cols>
    <col min="1" max="2" width="11.42578125" style="183"/>
    <col min="3" max="3" width="12.42578125" style="183" bestFit="1" customWidth="1"/>
    <col min="4" max="4" width="17" style="183" customWidth="1"/>
    <col min="5" max="5" width="12.42578125" style="183" bestFit="1" customWidth="1"/>
    <col min="6" max="6" width="11.5703125" style="183" bestFit="1" customWidth="1"/>
    <col min="7" max="7" width="14.7109375" style="183" customWidth="1"/>
    <col min="8" max="8" width="15.5703125" style="183" customWidth="1"/>
    <col min="9" max="9" width="16.28515625" style="183" customWidth="1"/>
    <col min="10" max="10" width="12.7109375" style="183" customWidth="1"/>
    <col min="11" max="11" width="19.5703125" style="183" customWidth="1"/>
    <col min="12" max="12" width="13" style="183" customWidth="1"/>
    <col min="13" max="13" width="12.28515625" style="183" customWidth="1"/>
    <col min="14" max="14" width="11.42578125" style="183"/>
    <col min="15" max="15" width="13" style="183" customWidth="1"/>
    <col min="16" max="17" width="12.42578125" style="183" bestFit="1" customWidth="1"/>
    <col min="18" max="18" width="13.5703125" style="183" customWidth="1"/>
    <col min="19" max="19" width="11.5703125" style="183" bestFit="1" customWidth="1"/>
    <col min="20" max="20" width="13.28515625" style="183" customWidth="1"/>
    <col min="21" max="21" width="12.42578125" style="183" bestFit="1" customWidth="1"/>
    <col min="22" max="22" width="12.5703125" style="183" customWidth="1"/>
    <col min="23" max="23" width="19.7109375" style="183" customWidth="1"/>
    <col min="24" max="25" width="11.42578125" style="183"/>
    <col min="26" max="26" width="13.5703125" style="183" customWidth="1"/>
    <col min="27" max="27" width="14.28515625" style="183" customWidth="1"/>
    <col min="28" max="28" width="15" style="183" customWidth="1"/>
    <col min="29" max="29" width="15.140625" style="183" customWidth="1"/>
    <col min="30" max="30" width="15.42578125" style="183" customWidth="1"/>
    <col min="31" max="37" width="14.7109375" style="183" customWidth="1"/>
    <col min="38" max="38" width="19.85546875" style="183" customWidth="1"/>
    <col min="39" max="40" width="14.7109375" style="183" customWidth="1"/>
    <col min="41" max="41" width="11.42578125" style="183"/>
    <col min="42" max="42" width="14.140625" style="183" customWidth="1"/>
    <col min="43" max="45" width="11.42578125" style="183"/>
    <col min="46" max="46" width="14.28515625" style="183" customWidth="1"/>
    <col min="47" max="16384" width="11.42578125" style="183"/>
  </cols>
  <sheetData>
    <row r="1" spans="1:51" ht="35.1" customHeight="1" thickBot="1" x14ac:dyDescent="0.3">
      <c r="B1" s="1270" t="s">
        <v>213</v>
      </c>
      <c r="C1" s="1271"/>
      <c r="D1" s="1272"/>
      <c r="E1" s="1279" t="s">
        <v>128</v>
      </c>
      <c r="F1" s="1280"/>
      <c r="G1" s="1280"/>
      <c r="H1" s="1280"/>
      <c r="I1" s="1281"/>
      <c r="J1" s="1324" t="s">
        <v>128</v>
      </c>
      <c r="K1" s="1325"/>
      <c r="L1" s="1279" t="s">
        <v>128</v>
      </c>
      <c r="M1" s="1280"/>
      <c r="N1" s="1280"/>
      <c r="O1" s="1281"/>
      <c r="P1" s="1202" t="s">
        <v>128</v>
      </c>
      <c r="Q1" s="1203"/>
      <c r="R1" s="1203"/>
      <c r="S1" s="1203"/>
      <c r="T1" s="1203"/>
      <c r="U1" s="1203"/>
      <c r="V1" s="1203"/>
      <c r="W1" s="1203"/>
      <c r="X1" s="1203"/>
      <c r="Y1" s="1203"/>
      <c r="Z1" s="1203"/>
      <c r="AA1" s="1245" t="s">
        <v>128</v>
      </c>
      <c r="AB1" s="1246"/>
      <c r="AC1" s="1246"/>
      <c r="AD1" s="1246"/>
      <c r="AE1" s="1246"/>
      <c r="AF1" s="1246"/>
      <c r="AG1" s="1246"/>
      <c r="AH1" s="1246"/>
      <c r="AI1" s="1246"/>
      <c r="AJ1" s="1246"/>
      <c r="AK1" s="1246"/>
      <c r="AL1" s="1246"/>
      <c r="AM1" s="1246"/>
      <c r="AN1" s="1202" t="s">
        <v>128</v>
      </c>
      <c r="AO1" s="1203"/>
      <c r="AP1" s="1203"/>
      <c r="AQ1" s="1203"/>
      <c r="AR1" s="1203"/>
      <c r="AS1" s="1203"/>
      <c r="AT1" s="1203"/>
      <c r="AU1" s="1203"/>
      <c r="AV1" s="1203"/>
      <c r="AW1" s="1203"/>
      <c r="AX1" s="1203"/>
      <c r="AY1" s="1204"/>
    </row>
    <row r="2" spans="1:51" ht="15" customHeight="1" thickBot="1" x14ac:dyDescent="0.3">
      <c r="A2" s="674"/>
      <c r="B2" s="1273"/>
      <c r="C2" s="1274"/>
      <c r="D2" s="1275"/>
      <c r="E2" s="1306" t="s">
        <v>99</v>
      </c>
      <c r="F2" s="1307"/>
      <c r="G2" s="1307"/>
      <c r="H2" s="1307"/>
      <c r="I2" s="1308"/>
      <c r="J2" s="1312" t="s">
        <v>97</v>
      </c>
      <c r="K2" s="1313"/>
      <c r="L2" s="1316" t="s">
        <v>98</v>
      </c>
      <c r="M2" s="1317"/>
      <c r="N2" s="1317"/>
      <c r="O2" s="1318"/>
      <c r="P2" s="1247" t="s">
        <v>93</v>
      </c>
      <c r="Q2" s="1248"/>
      <c r="R2" s="1248"/>
      <c r="S2" s="1248"/>
      <c r="T2" s="1248"/>
      <c r="U2" s="1248"/>
      <c r="V2" s="1248"/>
      <c r="W2" s="1248"/>
      <c r="X2" s="1248"/>
      <c r="Y2" s="1248"/>
      <c r="Z2" s="1248"/>
      <c r="AA2" s="1225" t="s">
        <v>244</v>
      </c>
      <c r="AB2" s="1226"/>
      <c r="AC2" s="1226"/>
      <c r="AD2" s="1226"/>
      <c r="AE2" s="1226"/>
      <c r="AF2" s="1226"/>
      <c r="AG2" s="1226"/>
      <c r="AH2" s="1226"/>
      <c r="AI2" s="1226"/>
      <c r="AJ2" s="1226"/>
      <c r="AK2" s="1226"/>
      <c r="AL2" s="1226"/>
      <c r="AM2" s="1226"/>
      <c r="AN2" s="1205" t="s">
        <v>290</v>
      </c>
      <c r="AO2" s="1206"/>
      <c r="AP2" s="1206"/>
      <c r="AQ2" s="1206"/>
      <c r="AR2" s="1206"/>
      <c r="AS2" s="1206"/>
      <c r="AT2" s="1206"/>
      <c r="AU2" s="1206"/>
      <c r="AV2" s="1206"/>
      <c r="AW2" s="1206"/>
      <c r="AX2" s="1206"/>
      <c r="AY2" s="1207"/>
    </row>
    <row r="3" spans="1:51" ht="15.75" customHeight="1" thickBot="1" x14ac:dyDescent="0.3">
      <c r="B3" s="1273"/>
      <c r="C3" s="1274"/>
      <c r="D3" s="1275"/>
      <c r="E3" s="1309"/>
      <c r="F3" s="1310"/>
      <c r="G3" s="1310"/>
      <c r="H3" s="1310"/>
      <c r="I3" s="1311"/>
      <c r="J3" s="1314"/>
      <c r="K3" s="1315"/>
      <c r="L3" s="1319"/>
      <c r="M3" s="1320"/>
      <c r="N3" s="1320"/>
      <c r="O3" s="1321"/>
      <c r="P3" s="1249"/>
      <c r="Q3" s="1250"/>
      <c r="R3" s="1250"/>
      <c r="S3" s="1250"/>
      <c r="T3" s="1250"/>
      <c r="U3" s="1250"/>
      <c r="V3" s="1250"/>
      <c r="W3" s="1250"/>
      <c r="X3" s="1250"/>
      <c r="Y3" s="1250"/>
      <c r="Z3" s="1250"/>
      <c r="AA3" s="1227"/>
      <c r="AB3" s="1228"/>
      <c r="AC3" s="1228"/>
      <c r="AD3" s="1228"/>
      <c r="AE3" s="1228"/>
      <c r="AF3" s="1228"/>
      <c r="AG3" s="1228"/>
      <c r="AH3" s="1228"/>
      <c r="AI3" s="1228"/>
      <c r="AJ3" s="1228"/>
      <c r="AK3" s="1228"/>
      <c r="AL3" s="1228"/>
      <c r="AM3" s="1228"/>
      <c r="AN3" s="1208"/>
      <c r="AO3" s="1209"/>
      <c r="AP3" s="1209"/>
      <c r="AQ3" s="1209"/>
      <c r="AR3" s="1209"/>
      <c r="AS3" s="1209"/>
      <c r="AT3" s="1209"/>
      <c r="AU3" s="1209"/>
      <c r="AV3" s="1209"/>
      <c r="AW3" s="1209"/>
      <c r="AX3" s="1209"/>
      <c r="AY3" s="1210"/>
    </row>
    <row r="4" spans="1:51" ht="24.95" customHeight="1" thickBot="1" x14ac:dyDescent="0.3">
      <c r="B4" s="1276"/>
      <c r="C4" s="1277"/>
      <c r="D4" s="1278"/>
      <c r="E4" s="1322" t="s">
        <v>129</v>
      </c>
      <c r="F4" s="1303" t="s">
        <v>130</v>
      </c>
      <c r="G4" s="1301" t="s">
        <v>131</v>
      </c>
      <c r="H4" s="1303" t="s">
        <v>132</v>
      </c>
      <c r="I4" s="1304" t="s">
        <v>125</v>
      </c>
      <c r="J4" s="1282" t="s">
        <v>96</v>
      </c>
      <c r="K4" s="1284" t="s">
        <v>115</v>
      </c>
      <c r="L4" s="1286" t="s">
        <v>95</v>
      </c>
      <c r="M4" s="1288" t="s">
        <v>111</v>
      </c>
      <c r="N4" s="1288" t="s">
        <v>112</v>
      </c>
      <c r="O4" s="1290" t="s">
        <v>124</v>
      </c>
      <c r="P4" s="1259" t="s">
        <v>94</v>
      </c>
      <c r="Q4" s="1255" t="s">
        <v>122</v>
      </c>
      <c r="R4" s="1255" t="s">
        <v>123</v>
      </c>
      <c r="S4" s="1257" t="s">
        <v>222</v>
      </c>
      <c r="T4" s="1257" t="s">
        <v>258</v>
      </c>
      <c r="U4" s="1253" t="s">
        <v>259</v>
      </c>
      <c r="V4" s="1257" t="s">
        <v>223</v>
      </c>
      <c r="W4" s="1257" t="s">
        <v>265</v>
      </c>
      <c r="X4" s="1261" t="s">
        <v>266</v>
      </c>
      <c r="Y4" s="1265" t="s">
        <v>267</v>
      </c>
      <c r="Z4" s="1267" t="s">
        <v>238</v>
      </c>
      <c r="AA4" s="986" t="s">
        <v>245</v>
      </c>
      <c r="AB4" s="885" t="s">
        <v>246</v>
      </c>
      <c r="AC4" s="887" t="s">
        <v>247</v>
      </c>
      <c r="AD4" s="885" t="s">
        <v>262</v>
      </c>
      <c r="AE4" s="885" t="s">
        <v>268</v>
      </c>
      <c r="AF4" s="885" t="s">
        <v>269</v>
      </c>
      <c r="AG4" s="885" t="s">
        <v>275</v>
      </c>
      <c r="AH4" s="1269" t="s">
        <v>272</v>
      </c>
      <c r="AI4" s="885" t="s">
        <v>277</v>
      </c>
      <c r="AJ4" s="885" t="s">
        <v>281</v>
      </c>
      <c r="AK4" s="885" t="s">
        <v>282</v>
      </c>
      <c r="AL4" s="931" t="s">
        <v>294</v>
      </c>
      <c r="AM4" s="929" t="s">
        <v>291</v>
      </c>
      <c r="AN4" s="1200" t="s">
        <v>296</v>
      </c>
      <c r="AO4" s="1243" t="s">
        <v>300</v>
      </c>
      <c r="AP4" s="1239" t="s">
        <v>309</v>
      </c>
      <c r="AQ4" s="1241" t="s">
        <v>310</v>
      </c>
      <c r="AR4" s="1239" t="s">
        <v>313</v>
      </c>
      <c r="AS4" s="1241" t="s">
        <v>328</v>
      </c>
      <c r="AT4" s="1239" t="s">
        <v>339</v>
      </c>
      <c r="AU4" s="1237" t="s">
        <v>329</v>
      </c>
      <c r="AV4" s="1211" t="s">
        <v>318</v>
      </c>
      <c r="AW4" s="1211" t="s">
        <v>324</v>
      </c>
      <c r="AX4" s="1211" t="s">
        <v>330</v>
      </c>
      <c r="AY4" s="1211" t="s">
        <v>331</v>
      </c>
    </row>
    <row r="5" spans="1:51" ht="24.95" customHeight="1" thickBot="1" x14ac:dyDescent="0.3">
      <c r="B5" s="1298" t="s">
        <v>171</v>
      </c>
      <c r="C5" s="1299"/>
      <c r="D5" s="1300"/>
      <c r="E5" s="1323"/>
      <c r="F5" s="1302"/>
      <c r="G5" s="1302"/>
      <c r="H5" s="1302"/>
      <c r="I5" s="1305"/>
      <c r="J5" s="1283"/>
      <c r="K5" s="1285"/>
      <c r="L5" s="1287"/>
      <c r="M5" s="1289"/>
      <c r="N5" s="1289"/>
      <c r="O5" s="1291"/>
      <c r="P5" s="1260"/>
      <c r="Q5" s="1256"/>
      <c r="R5" s="1256"/>
      <c r="S5" s="1258"/>
      <c r="T5" s="1258"/>
      <c r="U5" s="1254"/>
      <c r="V5" s="1258"/>
      <c r="W5" s="1258"/>
      <c r="X5" s="1262"/>
      <c r="Y5" s="1266"/>
      <c r="Z5" s="1268"/>
      <c r="AA5" s="986"/>
      <c r="AB5" s="885"/>
      <c r="AC5" s="887"/>
      <c r="AD5" s="885"/>
      <c r="AE5" s="885"/>
      <c r="AF5" s="885"/>
      <c r="AG5" s="885"/>
      <c r="AH5" s="1269"/>
      <c r="AI5" s="885"/>
      <c r="AJ5" s="885"/>
      <c r="AK5" s="885"/>
      <c r="AL5" s="884" t="s">
        <v>294</v>
      </c>
      <c r="AM5" s="930"/>
      <c r="AN5" s="1201"/>
      <c r="AO5" s="1244"/>
      <c r="AP5" s="1240"/>
      <c r="AQ5" s="1242"/>
      <c r="AR5" s="1240"/>
      <c r="AS5" s="1242"/>
      <c r="AT5" s="1240"/>
      <c r="AU5" s="1238"/>
      <c r="AV5" s="1212"/>
      <c r="AW5" s="1212"/>
      <c r="AX5" s="1212"/>
      <c r="AY5" s="1212"/>
    </row>
    <row r="6" spans="1:51" ht="15.75" customHeight="1" thickBot="1" x14ac:dyDescent="0.3">
      <c r="B6" s="1326">
        <v>2</v>
      </c>
      <c r="C6" s="1295" t="s">
        <v>19</v>
      </c>
      <c r="D6" s="37" t="s">
        <v>172</v>
      </c>
      <c r="E6" s="46" t="s">
        <v>20</v>
      </c>
      <c r="F6" s="13" t="s">
        <v>21</v>
      </c>
      <c r="G6" s="13" t="s">
        <v>22</v>
      </c>
      <c r="H6" s="13" t="s">
        <v>23</v>
      </c>
      <c r="I6" s="675">
        <v>43285</v>
      </c>
      <c r="J6" s="676">
        <f>I6*30/100+I6</f>
        <v>56270.5</v>
      </c>
      <c r="K6" s="677">
        <f>I6*45/100+I6</f>
        <v>62763.25</v>
      </c>
      <c r="L6" s="678">
        <f>K6*15/100+K6</f>
        <v>72177.737500000003</v>
      </c>
      <c r="M6" s="679">
        <f>K6*25/100+K6</f>
        <v>78454.0625</v>
      </c>
      <c r="N6" s="679">
        <f>K6*35/100+K6</f>
        <v>84730.387499999997</v>
      </c>
      <c r="O6" s="680">
        <f>(K6*57.82)/100+K6</f>
        <v>99052.961150000003</v>
      </c>
      <c r="P6" s="681">
        <f>(O6*10)/100+O6</f>
        <v>108958.25726500001</v>
      </c>
      <c r="Q6" s="682">
        <f>(O6*20)/100+O6</f>
        <v>118863.55338</v>
      </c>
      <c r="R6" s="682">
        <f>(O6*30)/100+O6</f>
        <v>128768.849495</v>
      </c>
      <c r="S6" s="683">
        <f>O6*15/100</f>
        <v>14857.9441725</v>
      </c>
      <c r="T6" s="683">
        <f>O6*30/100</f>
        <v>29715.888344999999</v>
      </c>
      <c r="U6" s="682">
        <f>O6*60/100+O6</f>
        <v>158484.73784000002</v>
      </c>
      <c r="V6" s="683">
        <f>O6*10/100</f>
        <v>9905.2961149999992</v>
      </c>
      <c r="W6" s="683">
        <f>O6*20/100</f>
        <v>19810.592229999998</v>
      </c>
      <c r="X6" s="684">
        <f>O6*39/100</f>
        <v>38630.654848500002</v>
      </c>
      <c r="Y6" s="684">
        <f t="shared" ref="Y6:Y22" si="0">O6*9.8/100</f>
        <v>9707.1901926999999</v>
      </c>
      <c r="Z6" s="685">
        <f t="shared" ref="Z6:Z22" si="1">O6*108.8/100+O6</f>
        <v>206822.58288120001</v>
      </c>
      <c r="AA6" s="686">
        <f>Z6*11/100</f>
        <v>22750.484116931999</v>
      </c>
      <c r="AB6" s="687">
        <f>Z6*25/100</f>
        <v>51705.645720300003</v>
      </c>
      <c r="AC6" s="688">
        <f>Z6*25/100+Z6</f>
        <v>258528.22860150001</v>
      </c>
      <c r="AD6" s="687">
        <f>Z6*15/100</f>
        <v>31023.387432179999</v>
      </c>
      <c r="AE6" s="687">
        <f>Z6*27.5/100</f>
        <v>56876.210292330004</v>
      </c>
      <c r="AF6" s="687">
        <f>Z6*45/100</f>
        <v>93070.162296540017</v>
      </c>
      <c r="AG6" s="687">
        <f>Z6*68.1/100</f>
        <v>140846.17894209721</v>
      </c>
      <c r="AH6" s="688">
        <f>Z6*93.1/100+Z6</f>
        <v>399374.40754359722</v>
      </c>
      <c r="AI6" s="687">
        <f>Z6*55/100</f>
        <v>113752.42058466001</v>
      </c>
      <c r="AJ6" s="687">
        <f>Z6*91.4/100</f>
        <v>189035.84075341682</v>
      </c>
      <c r="AK6" s="687">
        <f>Z6*103.9/100</f>
        <v>214888.66361356684</v>
      </c>
      <c r="AL6" s="689">
        <f>Z6*15.7/100</f>
        <v>32471.145512348401</v>
      </c>
      <c r="AM6" s="689">
        <f>Z6*25.05/100</f>
        <v>51809.05701174061</v>
      </c>
      <c r="AN6" s="690">
        <f>Z6*257.48/100+Z6</f>
        <v>739349.36928371387</v>
      </c>
      <c r="AO6" s="691">
        <f>AN6*8.8/100</f>
        <v>65062.744496966821</v>
      </c>
      <c r="AP6" s="692">
        <f>AN6*8.8/100+AN6</f>
        <v>804412.11378068069</v>
      </c>
      <c r="AQ6" s="693">
        <f>AN6*4.57/100</f>
        <v>33788.266176265723</v>
      </c>
      <c r="AR6" s="694">
        <f>AN6*13.37/100+AN6</f>
        <v>838200.37995694648</v>
      </c>
      <c r="AS6" s="693">
        <f>AN6*9.96/100</f>
        <v>73639.197180657909</v>
      </c>
      <c r="AT6" s="694">
        <f>AN6*28.51/100+AN6</f>
        <v>950137.87446650071</v>
      </c>
      <c r="AU6" s="842">
        <f>AN6*4/100</f>
        <v>29573.974771348556</v>
      </c>
      <c r="AV6" s="308"/>
      <c r="AW6" s="308"/>
      <c r="AX6" s="308"/>
      <c r="AY6" s="308"/>
    </row>
    <row r="7" spans="1:51" ht="29.25" thickBot="1" x14ac:dyDescent="0.3">
      <c r="B7" s="1327"/>
      <c r="C7" s="1297"/>
      <c r="D7" s="38" t="s">
        <v>77</v>
      </c>
      <c r="E7" s="47"/>
      <c r="F7" s="14"/>
      <c r="G7" s="14"/>
      <c r="H7" s="14"/>
      <c r="I7" s="695"/>
      <c r="J7" s="696"/>
      <c r="K7" s="697">
        <f t="shared" ref="K7:R7" si="2">(K6*1)/100</f>
        <v>627.63250000000005</v>
      </c>
      <c r="L7" s="698">
        <f t="shared" si="2"/>
        <v>721.77737500000001</v>
      </c>
      <c r="M7" s="699">
        <f t="shared" si="2"/>
        <v>784.54062499999998</v>
      </c>
      <c r="N7" s="699">
        <f t="shared" si="2"/>
        <v>847.30387499999995</v>
      </c>
      <c r="O7" s="700">
        <f t="shared" si="2"/>
        <v>990.52961149999999</v>
      </c>
      <c r="P7" s="701">
        <f t="shared" si="2"/>
        <v>1089.58257265</v>
      </c>
      <c r="Q7" s="702">
        <f t="shared" si="2"/>
        <v>1188.6355338000001</v>
      </c>
      <c r="R7" s="702">
        <f t="shared" si="2"/>
        <v>1287.6884949499999</v>
      </c>
      <c r="S7" s="703">
        <f t="shared" ref="S7:S22" si="3">O7*15/100</f>
        <v>148.57944172500001</v>
      </c>
      <c r="T7" s="703">
        <f t="shared" ref="T7:T22" si="4">O7*30/100</f>
        <v>297.15888345000002</v>
      </c>
      <c r="U7" s="702">
        <f t="shared" ref="U7:U22" si="5">O7*60/100+O7</f>
        <v>1584.8473784</v>
      </c>
      <c r="V7" s="703">
        <f t="shared" ref="V7:V22" si="6">O7*10/100</f>
        <v>99.052961149999987</v>
      </c>
      <c r="W7" s="703">
        <f t="shared" ref="W7:W22" si="7">O7*20/100</f>
        <v>198.10592229999997</v>
      </c>
      <c r="X7" s="704">
        <f t="shared" ref="X7:X22" si="8">O7*39/100</f>
        <v>386.30654848500001</v>
      </c>
      <c r="Y7" s="704">
        <f t="shared" si="0"/>
        <v>97.071901926999999</v>
      </c>
      <c r="Z7" s="705">
        <f t="shared" si="1"/>
        <v>2068.2258288120001</v>
      </c>
      <c r="AA7" s="686">
        <f t="shared" ref="AA7:AA22" si="9">Z7*11/100</f>
        <v>227.50484116932003</v>
      </c>
      <c r="AB7" s="687">
        <f t="shared" ref="AB7:AB22" si="10">Z7*25/100</f>
        <v>517.05645720300004</v>
      </c>
      <c r="AC7" s="688">
        <f t="shared" ref="AC7:AC22" si="11">Z7*25/100+Z7</f>
        <v>2585.282286015</v>
      </c>
      <c r="AD7" s="687">
        <f t="shared" ref="AD7:AD22" si="12">Z7*15/100</f>
        <v>310.23387432180004</v>
      </c>
      <c r="AE7" s="687">
        <f t="shared" ref="AE7:AE22" si="13">Z7*27.5/100</f>
        <v>568.76210292330006</v>
      </c>
      <c r="AF7" s="687">
        <f t="shared" ref="AF7:AF22" si="14">Z7*45/100</f>
        <v>930.70162296540002</v>
      </c>
      <c r="AG7" s="687">
        <f t="shared" ref="AG7:AG22" si="15">Z7*68.1/100</f>
        <v>1408.4617894209721</v>
      </c>
      <c r="AH7" s="688">
        <f t="shared" ref="AH7:AH22" si="16">Z7*93.1/100+Z7</f>
        <v>3993.7440754359723</v>
      </c>
      <c r="AI7" s="687">
        <f t="shared" ref="AI7:AI22" si="17">Z7*55/100</f>
        <v>1137.5242058466001</v>
      </c>
      <c r="AJ7" s="687">
        <f t="shared" ref="AJ7:AJ22" si="18">Z7*91.4/100</f>
        <v>1890.3584075341682</v>
      </c>
      <c r="AK7" s="687">
        <f t="shared" ref="AK7:AK22" si="19">Z7*103.9/100</f>
        <v>2148.8866361356686</v>
      </c>
      <c r="AL7" s="689">
        <f t="shared" ref="AL7:AL22" si="20">Z7*15.7/100</f>
        <v>324.71145512348403</v>
      </c>
      <c r="AM7" s="689">
        <f t="shared" ref="AM7:AM22" si="21">Z7*25.05/100</f>
        <v>518.09057011740606</v>
      </c>
      <c r="AN7" s="690">
        <f t="shared" ref="AN7:AN22" si="22">Z7*257.48/100+Z7</f>
        <v>7393.493692837139</v>
      </c>
      <c r="AO7" s="691">
        <f t="shared" ref="AO7:AO22" si="23">AN7*8.8/100</f>
        <v>650.62744496966832</v>
      </c>
      <c r="AP7" s="692">
        <f t="shared" ref="AP7:AP22" si="24">AN7*8.8/100+AN7</f>
        <v>8044.1211378068074</v>
      </c>
      <c r="AQ7" s="693">
        <f t="shared" ref="AQ7:AQ22" si="25">AN7*4.57/100</f>
        <v>337.88266176265728</v>
      </c>
      <c r="AR7" s="694">
        <f t="shared" ref="AR7:AR22" si="26">AN7*13.37/100+AN7</f>
        <v>8382.0037995694638</v>
      </c>
      <c r="AS7" s="693">
        <f t="shared" ref="AS7:AS22" si="27">AN7*9.96/100</f>
        <v>736.39197180657914</v>
      </c>
      <c r="AT7" s="694">
        <f t="shared" ref="AT7:AT22" si="28">AN7*28.51/100+AN7</f>
        <v>9501.3787446650076</v>
      </c>
      <c r="AU7" s="842">
        <f t="shared" ref="AU7:AU22" si="29">AN7*4/100</f>
        <v>295.73974771348554</v>
      </c>
      <c r="AV7" s="308"/>
      <c r="AW7" s="348"/>
      <c r="AX7" s="308"/>
      <c r="AY7" s="308"/>
    </row>
    <row r="8" spans="1:51" ht="15.75" thickBot="1" x14ac:dyDescent="0.3">
      <c r="B8" s="1292">
        <v>2</v>
      </c>
      <c r="C8" s="1328" t="s">
        <v>24</v>
      </c>
      <c r="D8" s="39" t="s">
        <v>172</v>
      </c>
      <c r="E8" s="46" t="s">
        <v>25</v>
      </c>
      <c r="F8" s="13" t="s">
        <v>26</v>
      </c>
      <c r="G8" s="13" t="s">
        <v>27</v>
      </c>
      <c r="H8" s="13" t="s">
        <v>28</v>
      </c>
      <c r="I8" s="675">
        <v>50872</v>
      </c>
      <c r="J8" s="676">
        <f t="shared" ref="J8:J20" si="30">I8*30/100+I8</f>
        <v>66133.600000000006</v>
      </c>
      <c r="K8" s="677">
        <f t="shared" ref="K8:K48" si="31">I8*45/100+I8</f>
        <v>73764.399999999994</v>
      </c>
      <c r="L8" s="706">
        <f t="shared" ref="L8:L48" si="32">K8*15/100+K8</f>
        <v>84829.06</v>
      </c>
      <c r="M8" s="707">
        <f t="shared" ref="M8:M48" si="33">K8*25/100+K8</f>
        <v>92205.5</v>
      </c>
      <c r="N8" s="707">
        <f t="shared" ref="N8:N48" si="34">K8*35/100+K8</f>
        <v>99581.94</v>
      </c>
      <c r="O8" s="708">
        <f>(K8*57.82)/100+K8</f>
        <v>116414.97607999999</v>
      </c>
      <c r="P8" s="681">
        <f t="shared" ref="P8:P48" si="35">(O8*10)/100+O8</f>
        <v>128056.473688</v>
      </c>
      <c r="Q8" s="682">
        <f t="shared" ref="Q8:Q49" si="36">(O8*20)/100+O8</f>
        <v>139697.971296</v>
      </c>
      <c r="R8" s="682">
        <f t="shared" ref="R8:R49" si="37">(O8*30)/100+O8</f>
        <v>151339.46890400001</v>
      </c>
      <c r="S8" s="683">
        <f t="shared" si="3"/>
        <v>17462.246412</v>
      </c>
      <c r="T8" s="683">
        <f t="shared" si="4"/>
        <v>34924.492824000001</v>
      </c>
      <c r="U8" s="682">
        <f t="shared" si="5"/>
        <v>186263.96172799999</v>
      </c>
      <c r="V8" s="683">
        <f t="shared" si="6"/>
        <v>11641.497607999998</v>
      </c>
      <c r="W8" s="683">
        <f t="shared" si="7"/>
        <v>23282.995215999996</v>
      </c>
      <c r="X8" s="684">
        <f t="shared" si="8"/>
        <v>45401.8406712</v>
      </c>
      <c r="Y8" s="684">
        <f t="shared" si="0"/>
        <v>11408.667655839999</v>
      </c>
      <c r="Z8" s="685">
        <f t="shared" si="1"/>
        <v>243074.47005503997</v>
      </c>
      <c r="AA8" s="686">
        <f t="shared" si="9"/>
        <v>26738.191706054396</v>
      </c>
      <c r="AB8" s="687">
        <f t="shared" si="10"/>
        <v>60768.617513759993</v>
      </c>
      <c r="AC8" s="688">
        <f t="shared" si="11"/>
        <v>303843.08756879997</v>
      </c>
      <c r="AD8" s="687">
        <f t="shared" si="12"/>
        <v>36461.170508255993</v>
      </c>
      <c r="AE8" s="687">
        <f t="shared" si="13"/>
        <v>66845.479265135989</v>
      </c>
      <c r="AF8" s="687">
        <f t="shared" si="14"/>
        <v>109383.51152476799</v>
      </c>
      <c r="AG8" s="687">
        <f t="shared" si="15"/>
        <v>165533.7141074822</v>
      </c>
      <c r="AH8" s="688">
        <f t="shared" si="16"/>
        <v>469376.80167628219</v>
      </c>
      <c r="AI8" s="687">
        <f t="shared" si="17"/>
        <v>133690.95853027198</v>
      </c>
      <c r="AJ8" s="687">
        <f t="shared" si="18"/>
        <v>222170.06563030658</v>
      </c>
      <c r="AK8" s="687">
        <f t="shared" si="19"/>
        <v>252554.37438718654</v>
      </c>
      <c r="AL8" s="689">
        <f t="shared" si="20"/>
        <v>38162.691798641274</v>
      </c>
      <c r="AM8" s="689">
        <f t="shared" si="21"/>
        <v>60890.154748787514</v>
      </c>
      <c r="AN8" s="690">
        <f t="shared" si="22"/>
        <v>868942.61555275694</v>
      </c>
      <c r="AO8" s="691">
        <f t="shared" si="23"/>
        <v>76466.950168642623</v>
      </c>
      <c r="AP8" s="692">
        <f t="shared" si="24"/>
        <v>945409.56572139962</v>
      </c>
      <c r="AQ8" s="693">
        <f t="shared" si="25"/>
        <v>39710.677530760993</v>
      </c>
      <c r="AR8" s="694">
        <f t="shared" si="26"/>
        <v>985120.24325216049</v>
      </c>
      <c r="AS8" s="693">
        <f t="shared" si="27"/>
        <v>86546.684509054583</v>
      </c>
      <c r="AT8" s="694">
        <f t="shared" si="28"/>
        <v>1116678.155246848</v>
      </c>
      <c r="AU8" s="842">
        <f t="shared" si="29"/>
        <v>34757.704622110279</v>
      </c>
      <c r="AV8" s="308"/>
      <c r="AW8" s="308"/>
      <c r="AX8" s="308"/>
      <c r="AY8" s="308"/>
    </row>
    <row r="9" spans="1:51" ht="29.25" customHeight="1" thickBot="1" x14ac:dyDescent="0.3">
      <c r="B9" s="1293"/>
      <c r="C9" s="1329"/>
      <c r="D9" s="40" t="s">
        <v>77</v>
      </c>
      <c r="E9" s="48"/>
      <c r="F9" s="49"/>
      <c r="G9" s="49"/>
      <c r="H9" s="49"/>
      <c r="I9" s="709"/>
      <c r="J9" s="710"/>
      <c r="K9" s="711">
        <f t="shared" ref="K9:R9" si="38">(K8*1)/100</f>
        <v>737.64399999999989</v>
      </c>
      <c r="L9" s="712">
        <f t="shared" si="38"/>
        <v>848.29059999999993</v>
      </c>
      <c r="M9" s="713">
        <f t="shared" si="38"/>
        <v>922.05499999999995</v>
      </c>
      <c r="N9" s="713">
        <f t="shared" si="38"/>
        <v>995.81939999999997</v>
      </c>
      <c r="O9" s="714">
        <f t="shared" si="38"/>
        <v>1164.1497608</v>
      </c>
      <c r="P9" s="715">
        <f t="shared" si="38"/>
        <v>1280.5647368800001</v>
      </c>
      <c r="Q9" s="716">
        <f t="shared" si="38"/>
        <v>1396.9797129600001</v>
      </c>
      <c r="R9" s="716">
        <f t="shared" si="38"/>
        <v>1513.39468904</v>
      </c>
      <c r="S9" s="717">
        <f t="shared" si="3"/>
        <v>174.62246412000002</v>
      </c>
      <c r="T9" s="717">
        <f t="shared" si="4"/>
        <v>349.24492824000004</v>
      </c>
      <c r="U9" s="716">
        <f t="shared" si="5"/>
        <v>1862.63961728</v>
      </c>
      <c r="V9" s="717">
        <f t="shared" si="6"/>
        <v>116.41497608</v>
      </c>
      <c r="W9" s="717">
        <f t="shared" si="7"/>
        <v>232.82995216</v>
      </c>
      <c r="X9" s="693">
        <f t="shared" si="8"/>
        <v>454.018406712</v>
      </c>
      <c r="Y9" s="693">
        <f t="shared" si="0"/>
        <v>114.08667655840001</v>
      </c>
      <c r="Z9" s="718">
        <f t="shared" si="1"/>
        <v>2430.7447005504</v>
      </c>
      <c r="AA9" s="686">
        <f t="shared" si="9"/>
        <v>267.38191706054403</v>
      </c>
      <c r="AB9" s="687">
        <f t="shared" si="10"/>
        <v>607.6861751376</v>
      </c>
      <c r="AC9" s="688">
        <f t="shared" si="11"/>
        <v>3038.430875688</v>
      </c>
      <c r="AD9" s="687">
        <f t="shared" si="12"/>
        <v>364.61170508255998</v>
      </c>
      <c r="AE9" s="687">
        <f t="shared" si="13"/>
        <v>668.45479265136009</v>
      </c>
      <c r="AF9" s="687">
        <f t="shared" si="14"/>
        <v>1093.8351152476798</v>
      </c>
      <c r="AG9" s="687">
        <f t="shared" si="15"/>
        <v>1655.3371410748223</v>
      </c>
      <c r="AH9" s="688">
        <f t="shared" si="16"/>
        <v>4693.7680167628223</v>
      </c>
      <c r="AI9" s="687">
        <f t="shared" si="17"/>
        <v>1336.9095853027202</v>
      </c>
      <c r="AJ9" s="687">
        <f t="shared" si="18"/>
        <v>2221.7006563030659</v>
      </c>
      <c r="AK9" s="687">
        <f t="shared" si="19"/>
        <v>2525.5437438718659</v>
      </c>
      <c r="AL9" s="689">
        <f t="shared" si="20"/>
        <v>381.62691798641282</v>
      </c>
      <c r="AM9" s="689">
        <f t="shared" si="21"/>
        <v>608.90154748787518</v>
      </c>
      <c r="AN9" s="690">
        <f t="shared" si="22"/>
        <v>8689.4261555275698</v>
      </c>
      <c r="AO9" s="691">
        <f t="shared" si="23"/>
        <v>764.6695016864262</v>
      </c>
      <c r="AP9" s="692">
        <f t="shared" si="24"/>
        <v>9454.0956572139967</v>
      </c>
      <c r="AQ9" s="693">
        <f t="shared" si="25"/>
        <v>397.10677530760995</v>
      </c>
      <c r="AR9" s="694">
        <f t="shared" si="26"/>
        <v>9851.2024325216062</v>
      </c>
      <c r="AS9" s="693">
        <f t="shared" si="27"/>
        <v>865.46684509054603</v>
      </c>
      <c r="AT9" s="694">
        <f t="shared" si="28"/>
        <v>11166.781552468479</v>
      </c>
      <c r="AU9" s="842">
        <f t="shared" si="29"/>
        <v>347.57704622110282</v>
      </c>
      <c r="AV9" s="308"/>
      <c r="AW9" s="308"/>
      <c r="AX9" s="308"/>
      <c r="AY9" s="308"/>
    </row>
    <row r="10" spans="1:51" ht="15.75" customHeight="1" thickBot="1" x14ac:dyDescent="0.3">
      <c r="B10" s="1294"/>
      <c r="C10" s="1330"/>
      <c r="D10" s="41" t="s">
        <v>173</v>
      </c>
      <c r="E10" s="50"/>
      <c r="F10" s="14"/>
      <c r="G10" s="14"/>
      <c r="H10" s="14"/>
      <c r="I10" s="695"/>
      <c r="J10" s="696">
        <f>J8*22.5/100</f>
        <v>14880.060000000003</v>
      </c>
      <c r="K10" s="719">
        <f t="shared" ref="K10:R10" si="39">K8*22.5/100</f>
        <v>16596.989999999998</v>
      </c>
      <c r="L10" s="720">
        <f t="shared" si="39"/>
        <v>19086.538499999999</v>
      </c>
      <c r="M10" s="721">
        <f t="shared" si="39"/>
        <v>20746.237499999999</v>
      </c>
      <c r="N10" s="721">
        <f t="shared" si="39"/>
        <v>22405.9365</v>
      </c>
      <c r="O10" s="722">
        <f t="shared" si="39"/>
        <v>26193.369617999997</v>
      </c>
      <c r="P10" s="723">
        <f t="shared" si="39"/>
        <v>28812.7065798</v>
      </c>
      <c r="Q10" s="724">
        <f t="shared" si="39"/>
        <v>31432.0435416</v>
      </c>
      <c r="R10" s="724">
        <f t="shared" si="39"/>
        <v>34051.380503400003</v>
      </c>
      <c r="S10" s="703">
        <f t="shared" si="3"/>
        <v>3929.0054426999995</v>
      </c>
      <c r="T10" s="703">
        <f t="shared" si="4"/>
        <v>7858.0108853999991</v>
      </c>
      <c r="U10" s="702">
        <f t="shared" si="5"/>
        <v>41909.391388799995</v>
      </c>
      <c r="V10" s="703">
        <f t="shared" si="6"/>
        <v>2619.3369617999997</v>
      </c>
      <c r="W10" s="703">
        <f t="shared" si="7"/>
        <v>5238.6739235999994</v>
      </c>
      <c r="X10" s="704">
        <f t="shared" si="8"/>
        <v>10215.414151019999</v>
      </c>
      <c r="Y10" s="704">
        <f t="shared" si="0"/>
        <v>2566.9502225639999</v>
      </c>
      <c r="Z10" s="705">
        <f t="shared" si="1"/>
        <v>54691.755762383997</v>
      </c>
      <c r="AA10" s="686">
        <f t="shared" si="9"/>
        <v>6016.0931338622395</v>
      </c>
      <c r="AB10" s="687">
        <f t="shared" si="10"/>
        <v>13672.938940595999</v>
      </c>
      <c r="AC10" s="688">
        <f t="shared" si="11"/>
        <v>68364.694702979992</v>
      </c>
      <c r="AD10" s="687">
        <f t="shared" si="12"/>
        <v>8203.7633643575991</v>
      </c>
      <c r="AE10" s="687">
        <f t="shared" si="13"/>
        <v>15040.232834655599</v>
      </c>
      <c r="AF10" s="687">
        <f t="shared" si="14"/>
        <v>24611.290093072796</v>
      </c>
      <c r="AG10" s="687">
        <f t="shared" si="15"/>
        <v>37245.085674183501</v>
      </c>
      <c r="AH10" s="688">
        <f t="shared" si="16"/>
        <v>105609.78037716349</v>
      </c>
      <c r="AI10" s="687">
        <f t="shared" si="17"/>
        <v>30080.465669311197</v>
      </c>
      <c r="AJ10" s="687">
        <f t="shared" si="18"/>
        <v>49988.264766818975</v>
      </c>
      <c r="AK10" s="687">
        <f t="shared" si="19"/>
        <v>56824.734237116973</v>
      </c>
      <c r="AL10" s="689">
        <f t="shared" si="20"/>
        <v>8586.6056546942873</v>
      </c>
      <c r="AM10" s="689">
        <f t="shared" si="21"/>
        <v>13700.28481847719</v>
      </c>
      <c r="AN10" s="690">
        <f t="shared" si="22"/>
        <v>195512.08849937032</v>
      </c>
      <c r="AO10" s="691">
        <f t="shared" si="23"/>
        <v>17205.063787944589</v>
      </c>
      <c r="AP10" s="692">
        <f t="shared" si="24"/>
        <v>212717.15228731491</v>
      </c>
      <c r="AQ10" s="693">
        <f t="shared" si="25"/>
        <v>8934.9024444212246</v>
      </c>
      <c r="AR10" s="694">
        <f t="shared" si="26"/>
        <v>221652.05473173613</v>
      </c>
      <c r="AS10" s="693">
        <f t="shared" si="27"/>
        <v>19473.004014537284</v>
      </c>
      <c r="AT10" s="694">
        <f t="shared" si="28"/>
        <v>251252.58493054079</v>
      </c>
      <c r="AU10" s="842">
        <f t="shared" si="29"/>
        <v>7820.4835399748126</v>
      </c>
      <c r="AV10" s="308"/>
      <c r="AW10" s="308"/>
      <c r="AX10" s="308"/>
      <c r="AY10" s="308"/>
    </row>
    <row r="11" spans="1:51" ht="15.75" thickBot="1" x14ac:dyDescent="0.3">
      <c r="B11" s="1292">
        <v>3</v>
      </c>
      <c r="C11" s="1295" t="s">
        <v>174</v>
      </c>
      <c r="D11" s="37" t="s">
        <v>172</v>
      </c>
      <c r="E11" s="46" t="s">
        <v>29</v>
      </c>
      <c r="F11" s="13" t="s">
        <v>30</v>
      </c>
      <c r="G11" s="13" t="s">
        <v>31</v>
      </c>
      <c r="H11" s="13" t="s">
        <v>32</v>
      </c>
      <c r="I11" s="675">
        <v>54688</v>
      </c>
      <c r="J11" s="676">
        <f t="shared" si="30"/>
        <v>71094.399999999994</v>
      </c>
      <c r="K11" s="677">
        <f t="shared" si="31"/>
        <v>79297.600000000006</v>
      </c>
      <c r="L11" s="706">
        <f t="shared" si="32"/>
        <v>91192.24</v>
      </c>
      <c r="M11" s="707">
        <f t="shared" si="33"/>
        <v>99122</v>
      </c>
      <c r="N11" s="707">
        <f t="shared" si="34"/>
        <v>107051.76000000001</v>
      </c>
      <c r="O11" s="708">
        <f>(K11*57.82)/100+K11</f>
        <v>125147.47232000002</v>
      </c>
      <c r="P11" s="725">
        <f t="shared" si="35"/>
        <v>137662.21955200002</v>
      </c>
      <c r="Q11" s="681">
        <f t="shared" si="36"/>
        <v>150176.96678400002</v>
      </c>
      <c r="R11" s="682">
        <f t="shared" si="37"/>
        <v>162691.71401600001</v>
      </c>
      <c r="S11" s="683">
        <f t="shared" si="3"/>
        <v>18772.120848000002</v>
      </c>
      <c r="T11" s="683">
        <f t="shared" si="4"/>
        <v>37544.241696000005</v>
      </c>
      <c r="U11" s="682">
        <f t="shared" si="5"/>
        <v>200235.95571200002</v>
      </c>
      <c r="V11" s="683">
        <f t="shared" si="6"/>
        <v>12514.747232000002</v>
      </c>
      <c r="W11" s="683">
        <f t="shared" si="7"/>
        <v>25029.494464000003</v>
      </c>
      <c r="X11" s="684">
        <f t="shared" si="8"/>
        <v>48807.514204800005</v>
      </c>
      <c r="Y11" s="684">
        <f t="shared" si="0"/>
        <v>12264.452287360002</v>
      </c>
      <c r="Z11" s="685">
        <f t="shared" si="1"/>
        <v>261307.92220416002</v>
      </c>
      <c r="AA11" s="686">
        <f t="shared" si="9"/>
        <v>28743.871442457599</v>
      </c>
      <c r="AB11" s="687">
        <f t="shared" si="10"/>
        <v>65326.980551040004</v>
      </c>
      <c r="AC11" s="688">
        <f t="shared" si="11"/>
        <v>326634.90275520005</v>
      </c>
      <c r="AD11" s="687">
        <f t="shared" si="12"/>
        <v>39196.188330623998</v>
      </c>
      <c r="AE11" s="687">
        <f t="shared" si="13"/>
        <v>71859.678606144007</v>
      </c>
      <c r="AF11" s="687">
        <f t="shared" si="14"/>
        <v>117588.56499187202</v>
      </c>
      <c r="AG11" s="687">
        <f t="shared" si="15"/>
        <v>177950.69502103294</v>
      </c>
      <c r="AH11" s="688">
        <f t="shared" si="16"/>
        <v>504585.59777623299</v>
      </c>
      <c r="AI11" s="687">
        <f t="shared" si="17"/>
        <v>143719.35721228801</v>
      </c>
      <c r="AJ11" s="687">
        <f t="shared" si="18"/>
        <v>238835.44089460227</v>
      </c>
      <c r="AK11" s="687">
        <f t="shared" si="19"/>
        <v>271498.93117012229</v>
      </c>
      <c r="AL11" s="689">
        <f t="shared" si="20"/>
        <v>41025.343786053119</v>
      </c>
      <c r="AM11" s="689">
        <f t="shared" si="21"/>
        <v>65457.634512142082</v>
      </c>
      <c r="AN11" s="690">
        <f t="shared" si="22"/>
        <v>934123.56029543129</v>
      </c>
      <c r="AO11" s="691">
        <f t="shared" si="23"/>
        <v>82202.873305997957</v>
      </c>
      <c r="AP11" s="692">
        <f t="shared" si="24"/>
        <v>1016326.4336014292</v>
      </c>
      <c r="AQ11" s="693">
        <f t="shared" si="25"/>
        <v>42689.446705501206</v>
      </c>
      <c r="AR11" s="694">
        <f t="shared" si="26"/>
        <v>1059015.8803069305</v>
      </c>
      <c r="AS11" s="693">
        <f t="shared" si="27"/>
        <v>93038.706605424959</v>
      </c>
      <c r="AT11" s="694">
        <f t="shared" si="28"/>
        <v>1200442.1873356588</v>
      </c>
      <c r="AU11" s="842">
        <f t="shared" si="29"/>
        <v>37364.942411817254</v>
      </c>
      <c r="AV11" s="308"/>
      <c r="AW11" s="308"/>
      <c r="AX11" s="308"/>
      <c r="AY11" s="308"/>
    </row>
    <row r="12" spans="1:51" ht="29.25" customHeight="1" thickBot="1" x14ac:dyDescent="0.3">
      <c r="B12" s="1293"/>
      <c r="C12" s="1296"/>
      <c r="D12" s="38" t="s">
        <v>80</v>
      </c>
      <c r="E12" s="48"/>
      <c r="F12" s="49"/>
      <c r="G12" s="49"/>
      <c r="H12" s="49"/>
      <c r="I12" s="709"/>
      <c r="J12" s="710"/>
      <c r="K12" s="711">
        <f t="shared" ref="K12:R12" si="40">(K11+(K11*0.225))*0.01</f>
        <v>971.39560000000017</v>
      </c>
      <c r="L12" s="712">
        <f t="shared" si="40"/>
        <v>1117.1049400000002</v>
      </c>
      <c r="M12" s="713">
        <f t="shared" si="40"/>
        <v>1214.2445</v>
      </c>
      <c r="N12" s="713">
        <f t="shared" si="40"/>
        <v>1311.3840600000001</v>
      </c>
      <c r="O12" s="714">
        <f t="shared" si="40"/>
        <v>1533.0565359200002</v>
      </c>
      <c r="P12" s="726">
        <f t="shared" si="40"/>
        <v>1686.3621895120002</v>
      </c>
      <c r="Q12" s="715">
        <f t="shared" si="40"/>
        <v>1839.6678431040002</v>
      </c>
      <c r="R12" s="716">
        <f t="shared" si="40"/>
        <v>1992.9734966960002</v>
      </c>
      <c r="S12" s="717">
        <f t="shared" si="3"/>
        <v>229.95848038800003</v>
      </c>
      <c r="T12" s="717">
        <f t="shared" si="4"/>
        <v>459.91696077600005</v>
      </c>
      <c r="U12" s="716">
        <f t="shared" si="5"/>
        <v>2452.8904574720004</v>
      </c>
      <c r="V12" s="717">
        <f t="shared" si="6"/>
        <v>153.30565359200003</v>
      </c>
      <c r="W12" s="717">
        <f t="shared" si="7"/>
        <v>306.61130718400005</v>
      </c>
      <c r="X12" s="693">
        <f t="shared" si="8"/>
        <v>597.89204900880009</v>
      </c>
      <c r="Y12" s="693">
        <f t="shared" si="0"/>
        <v>150.23954052016003</v>
      </c>
      <c r="Z12" s="718">
        <f t="shared" si="1"/>
        <v>3201.0220470009608</v>
      </c>
      <c r="AA12" s="686">
        <f t="shared" si="9"/>
        <v>352.11242517010572</v>
      </c>
      <c r="AB12" s="687">
        <f t="shared" si="10"/>
        <v>800.2555117502402</v>
      </c>
      <c r="AC12" s="688">
        <f t="shared" si="11"/>
        <v>4001.277558751201</v>
      </c>
      <c r="AD12" s="687">
        <f t="shared" si="12"/>
        <v>480.15330705014412</v>
      </c>
      <c r="AE12" s="687">
        <f t="shared" si="13"/>
        <v>880.28106292526422</v>
      </c>
      <c r="AF12" s="687">
        <f t="shared" si="14"/>
        <v>1440.4599211504326</v>
      </c>
      <c r="AG12" s="687">
        <f t="shared" si="15"/>
        <v>2179.8960140076542</v>
      </c>
      <c r="AH12" s="688">
        <f t="shared" si="16"/>
        <v>6181.1735727588548</v>
      </c>
      <c r="AI12" s="687">
        <f t="shared" si="17"/>
        <v>1760.5621258505284</v>
      </c>
      <c r="AJ12" s="687">
        <f t="shared" si="18"/>
        <v>2925.7341509588787</v>
      </c>
      <c r="AK12" s="687">
        <f t="shared" si="19"/>
        <v>3325.8619068339985</v>
      </c>
      <c r="AL12" s="689">
        <f t="shared" si="20"/>
        <v>502.56046137915081</v>
      </c>
      <c r="AM12" s="689">
        <f t="shared" si="21"/>
        <v>801.85602277374073</v>
      </c>
      <c r="AN12" s="690">
        <f t="shared" si="22"/>
        <v>11443.013613619036</v>
      </c>
      <c r="AO12" s="691">
        <f t="shared" si="23"/>
        <v>1006.9851979984752</v>
      </c>
      <c r="AP12" s="692">
        <f t="shared" si="24"/>
        <v>12449.998811617512</v>
      </c>
      <c r="AQ12" s="693">
        <f t="shared" si="25"/>
        <v>522.94572214238997</v>
      </c>
      <c r="AR12" s="694">
        <f t="shared" si="26"/>
        <v>12972.944533759901</v>
      </c>
      <c r="AS12" s="693">
        <f t="shared" si="27"/>
        <v>1139.7241559164561</v>
      </c>
      <c r="AT12" s="694">
        <f t="shared" si="28"/>
        <v>14705.416794861823</v>
      </c>
      <c r="AU12" s="842">
        <f t="shared" si="29"/>
        <v>457.72054454476142</v>
      </c>
      <c r="AV12" s="308"/>
      <c r="AW12" s="308"/>
      <c r="AX12" s="308"/>
      <c r="AY12" s="308"/>
    </row>
    <row r="13" spans="1:51" ht="15.75" thickBot="1" x14ac:dyDescent="0.3">
      <c r="B13" s="1294"/>
      <c r="C13" s="1297"/>
      <c r="D13" s="41" t="s">
        <v>173</v>
      </c>
      <c r="E13" s="47"/>
      <c r="F13" s="14"/>
      <c r="G13" s="14"/>
      <c r="H13" s="14"/>
      <c r="I13" s="695"/>
      <c r="J13" s="696">
        <f>J11*22.5/100</f>
        <v>15996.239999999998</v>
      </c>
      <c r="K13" s="719">
        <f t="shared" ref="K13:R13" si="41">K11*22.5/100</f>
        <v>17841.960000000003</v>
      </c>
      <c r="L13" s="720">
        <f t="shared" si="41"/>
        <v>20518.254000000001</v>
      </c>
      <c r="M13" s="721">
        <f t="shared" si="41"/>
        <v>22302.45</v>
      </c>
      <c r="N13" s="721">
        <f t="shared" si="41"/>
        <v>24086.646000000001</v>
      </c>
      <c r="O13" s="722">
        <f t="shared" si="41"/>
        <v>28158.181272000005</v>
      </c>
      <c r="P13" s="727">
        <f t="shared" si="41"/>
        <v>30973.999399200009</v>
      </c>
      <c r="Q13" s="723">
        <f t="shared" si="41"/>
        <v>33789.817526400002</v>
      </c>
      <c r="R13" s="724">
        <f t="shared" si="41"/>
        <v>36605.635653600002</v>
      </c>
      <c r="S13" s="703">
        <f t="shared" si="3"/>
        <v>4223.7271908000002</v>
      </c>
      <c r="T13" s="703">
        <f t="shared" si="4"/>
        <v>8447.4543816000005</v>
      </c>
      <c r="U13" s="702">
        <f t="shared" si="5"/>
        <v>45053.090035200003</v>
      </c>
      <c r="V13" s="703">
        <f t="shared" si="6"/>
        <v>2815.8181272000006</v>
      </c>
      <c r="W13" s="703">
        <f t="shared" si="7"/>
        <v>5631.6362544000012</v>
      </c>
      <c r="X13" s="704">
        <f t="shared" si="8"/>
        <v>10981.690696080001</v>
      </c>
      <c r="Y13" s="704">
        <f t="shared" si="0"/>
        <v>2759.5017646560009</v>
      </c>
      <c r="Z13" s="705">
        <f t="shared" si="1"/>
        <v>58794.282495936015</v>
      </c>
      <c r="AA13" s="686">
        <f t="shared" si="9"/>
        <v>6467.3710745529625</v>
      </c>
      <c r="AB13" s="687">
        <f t="shared" si="10"/>
        <v>14698.570623984004</v>
      </c>
      <c r="AC13" s="688">
        <f t="shared" si="11"/>
        <v>73492.853119920022</v>
      </c>
      <c r="AD13" s="687">
        <f t="shared" si="12"/>
        <v>8819.1423743904015</v>
      </c>
      <c r="AE13" s="687">
        <f t="shared" si="13"/>
        <v>16168.427686382403</v>
      </c>
      <c r="AF13" s="687">
        <f t="shared" si="14"/>
        <v>26457.427123171208</v>
      </c>
      <c r="AG13" s="687">
        <f t="shared" si="15"/>
        <v>40038.906379732427</v>
      </c>
      <c r="AH13" s="688">
        <f t="shared" si="16"/>
        <v>113531.75949965244</v>
      </c>
      <c r="AI13" s="687">
        <f t="shared" si="17"/>
        <v>32336.855372764807</v>
      </c>
      <c r="AJ13" s="687">
        <f t="shared" si="18"/>
        <v>53737.97420128552</v>
      </c>
      <c r="AK13" s="687">
        <f t="shared" si="19"/>
        <v>61087.259513277524</v>
      </c>
      <c r="AL13" s="689">
        <f t="shared" si="20"/>
        <v>9230.7023518619535</v>
      </c>
      <c r="AM13" s="689">
        <f t="shared" si="21"/>
        <v>14727.967765231973</v>
      </c>
      <c r="AN13" s="690">
        <f t="shared" si="22"/>
        <v>210177.80106647208</v>
      </c>
      <c r="AO13" s="691">
        <f t="shared" si="23"/>
        <v>18495.646493849545</v>
      </c>
      <c r="AP13" s="692">
        <f t="shared" si="24"/>
        <v>228673.44756032163</v>
      </c>
      <c r="AQ13" s="693">
        <f t="shared" si="25"/>
        <v>9605.125508737774</v>
      </c>
      <c r="AR13" s="694">
        <f t="shared" si="26"/>
        <v>238278.57306905941</v>
      </c>
      <c r="AS13" s="693">
        <f t="shared" si="27"/>
        <v>20933.708986220619</v>
      </c>
      <c r="AT13" s="694">
        <f t="shared" si="28"/>
        <v>270099.49215052329</v>
      </c>
      <c r="AU13" s="842">
        <f t="shared" si="29"/>
        <v>8407.1120426588823</v>
      </c>
      <c r="AV13" s="308"/>
      <c r="AW13" s="308"/>
      <c r="AX13" s="308"/>
      <c r="AY13" s="308"/>
    </row>
    <row r="14" spans="1:51" ht="15.75" customHeight="1" thickBot="1" x14ac:dyDescent="0.3">
      <c r="B14" s="1292">
        <v>4</v>
      </c>
      <c r="C14" s="1295" t="s">
        <v>33</v>
      </c>
      <c r="D14" s="37" t="s">
        <v>172</v>
      </c>
      <c r="E14" s="46" t="s">
        <v>34</v>
      </c>
      <c r="F14" s="13" t="s">
        <v>35</v>
      </c>
      <c r="G14" s="13" t="s">
        <v>36</v>
      </c>
      <c r="H14" s="13" t="s">
        <v>37</v>
      </c>
      <c r="I14" s="675">
        <v>58789</v>
      </c>
      <c r="J14" s="676">
        <f t="shared" si="30"/>
        <v>76425.7</v>
      </c>
      <c r="K14" s="677">
        <f t="shared" si="31"/>
        <v>85244.05</v>
      </c>
      <c r="L14" s="706">
        <f t="shared" si="32"/>
        <v>98030.657500000001</v>
      </c>
      <c r="M14" s="707">
        <f t="shared" si="33"/>
        <v>106555.0625</v>
      </c>
      <c r="N14" s="707">
        <f t="shared" si="34"/>
        <v>115079.4675</v>
      </c>
      <c r="O14" s="708">
        <f>(K14*57.82)/100+K14</f>
        <v>134532.15971000001</v>
      </c>
      <c r="P14" s="681">
        <f t="shared" si="35"/>
        <v>147985.375681</v>
      </c>
      <c r="Q14" s="682">
        <f t="shared" si="36"/>
        <v>161438.591652</v>
      </c>
      <c r="R14" s="682">
        <f t="shared" si="37"/>
        <v>174891.807623</v>
      </c>
      <c r="S14" s="683">
        <f t="shared" si="3"/>
        <v>20179.8239565</v>
      </c>
      <c r="T14" s="683">
        <f t="shared" si="4"/>
        <v>40359.647913000001</v>
      </c>
      <c r="U14" s="682">
        <f t="shared" si="5"/>
        <v>215251.45553600002</v>
      </c>
      <c r="V14" s="683">
        <f t="shared" si="6"/>
        <v>13453.215971000001</v>
      </c>
      <c r="W14" s="683">
        <f t="shared" si="7"/>
        <v>26906.431942000003</v>
      </c>
      <c r="X14" s="684">
        <f t="shared" si="8"/>
        <v>52467.542286900003</v>
      </c>
      <c r="Y14" s="684">
        <f t="shared" si="0"/>
        <v>13184.151651580001</v>
      </c>
      <c r="Z14" s="685">
        <f t="shared" si="1"/>
        <v>280903.14947448001</v>
      </c>
      <c r="AA14" s="686">
        <f t="shared" si="9"/>
        <v>30899.346442192804</v>
      </c>
      <c r="AB14" s="687">
        <f t="shared" si="10"/>
        <v>70225.787368620004</v>
      </c>
      <c r="AC14" s="688">
        <f t="shared" si="11"/>
        <v>351128.9368431</v>
      </c>
      <c r="AD14" s="687">
        <f t="shared" si="12"/>
        <v>42135.472421172002</v>
      </c>
      <c r="AE14" s="687">
        <f t="shared" si="13"/>
        <v>77248.366105481997</v>
      </c>
      <c r="AF14" s="687">
        <f t="shared" si="14"/>
        <v>126406.41726351601</v>
      </c>
      <c r="AG14" s="687">
        <f t="shared" si="15"/>
        <v>191295.04479212087</v>
      </c>
      <c r="AH14" s="688">
        <f t="shared" si="16"/>
        <v>542423.98163522081</v>
      </c>
      <c r="AI14" s="687">
        <f t="shared" si="17"/>
        <v>154496.73221096399</v>
      </c>
      <c r="AJ14" s="687">
        <f t="shared" si="18"/>
        <v>256745.47861967474</v>
      </c>
      <c r="AK14" s="687">
        <f t="shared" si="19"/>
        <v>291858.37230398477</v>
      </c>
      <c r="AL14" s="689">
        <f t="shared" si="20"/>
        <v>44101.794467493361</v>
      </c>
      <c r="AM14" s="689">
        <f t="shared" si="21"/>
        <v>70366.238943357239</v>
      </c>
      <c r="AN14" s="690">
        <f t="shared" si="22"/>
        <v>1004172.5787413712</v>
      </c>
      <c r="AO14" s="691">
        <f t="shared" si="23"/>
        <v>88367.186929240677</v>
      </c>
      <c r="AP14" s="692">
        <f t="shared" si="24"/>
        <v>1092539.7656706118</v>
      </c>
      <c r="AQ14" s="693">
        <f t="shared" si="25"/>
        <v>45890.686848480662</v>
      </c>
      <c r="AR14" s="694">
        <f t="shared" si="26"/>
        <v>1138430.4525190925</v>
      </c>
      <c r="AS14" s="693">
        <f t="shared" si="27"/>
        <v>100015.58884264057</v>
      </c>
      <c r="AT14" s="694">
        <f t="shared" si="28"/>
        <v>1290462.1809405361</v>
      </c>
      <c r="AU14" s="842">
        <f t="shared" si="29"/>
        <v>40166.903149654849</v>
      </c>
      <c r="AV14" s="308"/>
      <c r="AW14" s="308"/>
      <c r="AX14" s="308"/>
      <c r="AY14" s="308"/>
    </row>
    <row r="15" spans="1:51" ht="29.25" thickBot="1" x14ac:dyDescent="0.3">
      <c r="B15" s="1293"/>
      <c r="C15" s="1296"/>
      <c r="D15" s="40" t="s">
        <v>80</v>
      </c>
      <c r="E15" s="48"/>
      <c r="F15" s="49"/>
      <c r="G15" s="49"/>
      <c r="H15" s="49"/>
      <c r="I15" s="709"/>
      <c r="J15" s="710"/>
      <c r="K15" s="711">
        <f t="shared" ref="K15:R15" si="42">(K14+(K14*0.225))*0.01</f>
        <v>1044.2396125</v>
      </c>
      <c r="L15" s="712">
        <f t="shared" si="42"/>
        <v>1200.8755543750001</v>
      </c>
      <c r="M15" s="713">
        <f t="shared" si="42"/>
        <v>1305.2995156250001</v>
      </c>
      <c r="N15" s="713">
        <f t="shared" si="42"/>
        <v>1409.7234768750002</v>
      </c>
      <c r="O15" s="714">
        <f t="shared" si="42"/>
        <v>1648.0189564475002</v>
      </c>
      <c r="P15" s="715">
        <f t="shared" si="42"/>
        <v>1812.8208520922501</v>
      </c>
      <c r="Q15" s="716">
        <f t="shared" si="42"/>
        <v>1977.6227477369998</v>
      </c>
      <c r="R15" s="716">
        <f t="shared" si="42"/>
        <v>2142.4246433817498</v>
      </c>
      <c r="S15" s="717">
        <f t="shared" si="3"/>
        <v>247.20284346712504</v>
      </c>
      <c r="T15" s="717">
        <f t="shared" si="4"/>
        <v>494.40568693425007</v>
      </c>
      <c r="U15" s="716">
        <f t="shared" si="5"/>
        <v>2636.8303303160001</v>
      </c>
      <c r="V15" s="717">
        <f t="shared" si="6"/>
        <v>164.80189564475</v>
      </c>
      <c r="W15" s="717">
        <f t="shared" si="7"/>
        <v>329.60379128950001</v>
      </c>
      <c r="X15" s="693">
        <f t="shared" si="8"/>
        <v>642.72739301452509</v>
      </c>
      <c r="Y15" s="693">
        <f t="shared" si="0"/>
        <v>161.50585773185503</v>
      </c>
      <c r="Z15" s="718">
        <f t="shared" si="1"/>
        <v>3441.0635810623799</v>
      </c>
      <c r="AA15" s="686">
        <f t="shared" si="9"/>
        <v>378.51699391686174</v>
      </c>
      <c r="AB15" s="687">
        <f t="shared" si="10"/>
        <v>860.26589526559508</v>
      </c>
      <c r="AC15" s="688">
        <f t="shared" si="11"/>
        <v>4301.3294763279746</v>
      </c>
      <c r="AD15" s="687">
        <f t="shared" si="12"/>
        <v>516.159537159357</v>
      </c>
      <c r="AE15" s="687">
        <f t="shared" si="13"/>
        <v>946.29248479215448</v>
      </c>
      <c r="AF15" s="687">
        <f t="shared" si="14"/>
        <v>1548.4786114780709</v>
      </c>
      <c r="AG15" s="687">
        <f t="shared" si="15"/>
        <v>2343.3642987034805</v>
      </c>
      <c r="AH15" s="688">
        <f t="shared" si="16"/>
        <v>6644.6937750314555</v>
      </c>
      <c r="AI15" s="687">
        <f t="shared" si="17"/>
        <v>1892.584969584309</v>
      </c>
      <c r="AJ15" s="687">
        <f t="shared" si="18"/>
        <v>3145.1321130910155</v>
      </c>
      <c r="AK15" s="687">
        <f t="shared" si="19"/>
        <v>3575.2650607238129</v>
      </c>
      <c r="AL15" s="689">
        <f t="shared" si="20"/>
        <v>540.24698222679365</v>
      </c>
      <c r="AM15" s="689">
        <f t="shared" si="21"/>
        <v>861.9864270561261</v>
      </c>
      <c r="AN15" s="690">
        <f t="shared" si="22"/>
        <v>12301.114089581795</v>
      </c>
      <c r="AO15" s="691">
        <f t="shared" si="23"/>
        <v>1082.4980398831981</v>
      </c>
      <c r="AP15" s="692">
        <f t="shared" si="24"/>
        <v>13383.612129464993</v>
      </c>
      <c r="AQ15" s="693">
        <f t="shared" si="25"/>
        <v>562.16091389388805</v>
      </c>
      <c r="AR15" s="694">
        <f t="shared" si="26"/>
        <v>13945.77304335888</v>
      </c>
      <c r="AS15" s="693">
        <f t="shared" si="27"/>
        <v>1225.190963322347</v>
      </c>
      <c r="AT15" s="694">
        <f t="shared" si="28"/>
        <v>15808.161716521565</v>
      </c>
      <c r="AU15" s="842">
        <f t="shared" si="29"/>
        <v>492.04456358327184</v>
      </c>
      <c r="AV15" s="308"/>
      <c r="AW15" s="308"/>
      <c r="AX15" s="308"/>
      <c r="AY15" s="308"/>
    </row>
    <row r="16" spans="1:51" ht="15.75" customHeight="1" thickBot="1" x14ac:dyDescent="0.3">
      <c r="B16" s="1294"/>
      <c r="C16" s="1297"/>
      <c r="D16" s="41" t="s">
        <v>173</v>
      </c>
      <c r="E16" s="47"/>
      <c r="F16" s="14"/>
      <c r="G16" s="14"/>
      <c r="H16" s="14"/>
      <c r="I16" s="695"/>
      <c r="J16" s="696">
        <f>J14*22.5/100</f>
        <v>17195.782500000001</v>
      </c>
      <c r="K16" s="719">
        <f t="shared" ref="K16:R16" si="43">K14*22.5/100</f>
        <v>19179.911250000001</v>
      </c>
      <c r="L16" s="720">
        <f t="shared" si="43"/>
        <v>22056.897937500002</v>
      </c>
      <c r="M16" s="721">
        <f t="shared" si="43"/>
        <v>23974.889062499999</v>
      </c>
      <c r="N16" s="721">
        <f t="shared" si="43"/>
        <v>25892.880187499999</v>
      </c>
      <c r="O16" s="722">
        <f t="shared" si="43"/>
        <v>30269.735934749999</v>
      </c>
      <c r="P16" s="723">
        <f t="shared" si="43"/>
        <v>33296.709528225001</v>
      </c>
      <c r="Q16" s="724">
        <f t="shared" si="43"/>
        <v>36323.6831217</v>
      </c>
      <c r="R16" s="724">
        <f t="shared" si="43"/>
        <v>39350.656715174999</v>
      </c>
      <c r="S16" s="703">
        <f t="shared" si="3"/>
        <v>4540.4603902125</v>
      </c>
      <c r="T16" s="703">
        <f t="shared" si="4"/>
        <v>9080.920780425</v>
      </c>
      <c r="U16" s="702">
        <f t="shared" si="5"/>
        <v>48431.577495599995</v>
      </c>
      <c r="V16" s="703">
        <f t="shared" si="6"/>
        <v>3026.9735934749997</v>
      </c>
      <c r="W16" s="703">
        <f t="shared" si="7"/>
        <v>6053.9471869499994</v>
      </c>
      <c r="X16" s="704">
        <f t="shared" si="8"/>
        <v>11805.197014552499</v>
      </c>
      <c r="Y16" s="704">
        <f t="shared" si="0"/>
        <v>2966.4341216055</v>
      </c>
      <c r="Z16" s="705">
        <f t="shared" si="1"/>
        <v>63203.208631757996</v>
      </c>
      <c r="AA16" s="686">
        <f t="shared" si="9"/>
        <v>6952.3529494933791</v>
      </c>
      <c r="AB16" s="687">
        <f t="shared" si="10"/>
        <v>15800.802157939501</v>
      </c>
      <c r="AC16" s="688">
        <f t="shared" si="11"/>
        <v>79004.010789697495</v>
      </c>
      <c r="AD16" s="687">
        <f t="shared" si="12"/>
        <v>9480.4812947637001</v>
      </c>
      <c r="AE16" s="687">
        <f t="shared" si="13"/>
        <v>17380.88237373345</v>
      </c>
      <c r="AF16" s="687">
        <f t="shared" si="14"/>
        <v>28441.4438842911</v>
      </c>
      <c r="AG16" s="687">
        <f t="shared" si="15"/>
        <v>43041.385078227191</v>
      </c>
      <c r="AH16" s="688">
        <f t="shared" si="16"/>
        <v>122045.39586792469</v>
      </c>
      <c r="AI16" s="687">
        <f t="shared" si="17"/>
        <v>34761.764747466899</v>
      </c>
      <c r="AJ16" s="687">
        <f t="shared" si="18"/>
        <v>57767.732689426812</v>
      </c>
      <c r="AK16" s="687">
        <f t="shared" si="19"/>
        <v>65668.133768396568</v>
      </c>
      <c r="AL16" s="689">
        <f t="shared" si="20"/>
        <v>9922.9037551860038</v>
      </c>
      <c r="AM16" s="689">
        <f t="shared" si="21"/>
        <v>15832.403762255379</v>
      </c>
      <c r="AN16" s="690">
        <f t="shared" si="22"/>
        <v>225938.83021680851</v>
      </c>
      <c r="AO16" s="691">
        <f t="shared" si="23"/>
        <v>19882.617059079152</v>
      </c>
      <c r="AP16" s="692">
        <f t="shared" si="24"/>
        <v>245821.44727588765</v>
      </c>
      <c r="AQ16" s="693">
        <f t="shared" si="25"/>
        <v>10325.40454090815</v>
      </c>
      <c r="AR16" s="694">
        <f t="shared" si="26"/>
        <v>256146.8518167958</v>
      </c>
      <c r="AS16" s="693">
        <f t="shared" si="27"/>
        <v>22503.507489594129</v>
      </c>
      <c r="AT16" s="694">
        <f t="shared" si="28"/>
        <v>290353.9907116206</v>
      </c>
      <c r="AU16" s="842">
        <f t="shared" si="29"/>
        <v>9037.5532086723397</v>
      </c>
      <c r="AV16" s="308"/>
      <c r="AW16" s="308"/>
      <c r="AX16" s="308"/>
      <c r="AY16" s="308"/>
    </row>
    <row r="17" spans="2:51" ht="15.75" customHeight="1" thickBot="1" x14ac:dyDescent="0.3">
      <c r="B17" s="1292">
        <v>5</v>
      </c>
      <c r="C17" s="1295" t="s">
        <v>175</v>
      </c>
      <c r="D17" s="37" t="s">
        <v>172</v>
      </c>
      <c r="E17" s="46" t="s">
        <v>38</v>
      </c>
      <c r="F17" s="13" t="s">
        <v>39</v>
      </c>
      <c r="G17" s="13" t="s">
        <v>40</v>
      </c>
      <c r="H17" s="13" t="s">
        <v>41</v>
      </c>
      <c r="I17" s="675">
        <v>63198</v>
      </c>
      <c r="J17" s="676">
        <f t="shared" si="30"/>
        <v>82157.399999999994</v>
      </c>
      <c r="K17" s="677">
        <f t="shared" si="31"/>
        <v>91637.1</v>
      </c>
      <c r="L17" s="706">
        <f t="shared" si="32"/>
        <v>105382.66500000001</v>
      </c>
      <c r="M17" s="707">
        <f t="shared" si="33"/>
        <v>114546.375</v>
      </c>
      <c r="N17" s="707">
        <f t="shared" si="34"/>
        <v>123710.08500000001</v>
      </c>
      <c r="O17" s="708">
        <f>(K17*57.82)/100+K17</f>
        <v>144621.67122000002</v>
      </c>
      <c r="P17" s="681">
        <f t="shared" si="35"/>
        <v>159083.83834200003</v>
      </c>
      <c r="Q17" s="682">
        <f t="shared" si="36"/>
        <v>173546.00546400002</v>
      </c>
      <c r="R17" s="682">
        <f t="shared" si="37"/>
        <v>188008.17258600003</v>
      </c>
      <c r="S17" s="683">
        <f t="shared" si="3"/>
        <v>21693.250683000006</v>
      </c>
      <c r="T17" s="683">
        <f t="shared" si="4"/>
        <v>43386.501366000011</v>
      </c>
      <c r="U17" s="682">
        <f t="shared" si="5"/>
        <v>231394.67395200004</v>
      </c>
      <c r="V17" s="683">
        <f t="shared" si="6"/>
        <v>14462.167122000003</v>
      </c>
      <c r="W17" s="683">
        <f t="shared" si="7"/>
        <v>28924.334244000005</v>
      </c>
      <c r="X17" s="684">
        <f t="shared" si="8"/>
        <v>56402.451775800007</v>
      </c>
      <c r="Y17" s="684">
        <f t="shared" si="0"/>
        <v>14172.923779560004</v>
      </c>
      <c r="Z17" s="685">
        <f t="shared" si="1"/>
        <v>301970.04950736003</v>
      </c>
      <c r="AA17" s="686">
        <f t="shared" si="9"/>
        <v>33216.705445809603</v>
      </c>
      <c r="AB17" s="687">
        <f t="shared" si="10"/>
        <v>75492.512376840008</v>
      </c>
      <c r="AC17" s="688">
        <f t="shared" si="11"/>
        <v>377462.56188420003</v>
      </c>
      <c r="AD17" s="687">
        <f t="shared" si="12"/>
        <v>45295.507426104006</v>
      </c>
      <c r="AE17" s="687">
        <f t="shared" si="13"/>
        <v>83041.76361452401</v>
      </c>
      <c r="AF17" s="687">
        <f t="shared" si="14"/>
        <v>135886.52227831201</v>
      </c>
      <c r="AG17" s="687">
        <f t="shared" si="15"/>
        <v>205641.60371451217</v>
      </c>
      <c r="AH17" s="688">
        <f t="shared" si="16"/>
        <v>583104.16559871216</v>
      </c>
      <c r="AI17" s="687">
        <f t="shared" si="17"/>
        <v>166083.52722904802</v>
      </c>
      <c r="AJ17" s="687">
        <f t="shared" si="18"/>
        <v>276000.62524972705</v>
      </c>
      <c r="AK17" s="687">
        <f t="shared" si="19"/>
        <v>313746.8814381471</v>
      </c>
      <c r="AL17" s="689">
        <f t="shared" si="20"/>
        <v>47409.297772655525</v>
      </c>
      <c r="AM17" s="689">
        <f t="shared" si="21"/>
        <v>75643.49740159369</v>
      </c>
      <c r="AN17" s="690">
        <f t="shared" si="22"/>
        <v>1079482.5329789107</v>
      </c>
      <c r="AO17" s="691">
        <f t="shared" si="23"/>
        <v>94994.462902144151</v>
      </c>
      <c r="AP17" s="692">
        <f t="shared" si="24"/>
        <v>1174476.9958810548</v>
      </c>
      <c r="AQ17" s="693">
        <f t="shared" si="25"/>
        <v>49332.351757136217</v>
      </c>
      <c r="AR17" s="694">
        <f t="shared" si="26"/>
        <v>1223809.3476381912</v>
      </c>
      <c r="AS17" s="693">
        <f t="shared" si="27"/>
        <v>107516.46028469951</v>
      </c>
      <c r="AT17" s="694">
        <f t="shared" si="28"/>
        <v>1387243.0031311982</v>
      </c>
      <c r="AU17" s="842">
        <f t="shared" si="29"/>
        <v>43179.301319156431</v>
      </c>
      <c r="AV17" s="308"/>
      <c r="AW17" s="308"/>
      <c r="AX17" s="308"/>
      <c r="AY17" s="308"/>
    </row>
    <row r="18" spans="2:51" ht="29.25" thickBot="1" x14ac:dyDescent="0.3">
      <c r="B18" s="1293"/>
      <c r="C18" s="1296"/>
      <c r="D18" s="42" t="s">
        <v>80</v>
      </c>
      <c r="E18" s="48"/>
      <c r="F18" s="49"/>
      <c r="G18" s="49"/>
      <c r="H18" s="49"/>
      <c r="I18" s="709"/>
      <c r="J18" s="710"/>
      <c r="K18" s="711">
        <f t="shared" ref="K18:R18" si="44">(K17+(K17*0.225))*0.01</f>
        <v>1122.5544750000001</v>
      </c>
      <c r="L18" s="712">
        <f t="shared" si="44"/>
        <v>1290.9376462500002</v>
      </c>
      <c r="M18" s="713">
        <f t="shared" si="44"/>
        <v>1403.1930937500001</v>
      </c>
      <c r="N18" s="713">
        <f t="shared" si="44"/>
        <v>1515.4485412500001</v>
      </c>
      <c r="O18" s="714">
        <f t="shared" si="44"/>
        <v>1771.6154724450003</v>
      </c>
      <c r="P18" s="715">
        <f t="shared" si="44"/>
        <v>1948.7770196895005</v>
      </c>
      <c r="Q18" s="716">
        <f t="shared" si="44"/>
        <v>2125.9385669339999</v>
      </c>
      <c r="R18" s="716">
        <f t="shared" si="44"/>
        <v>2303.1001141785005</v>
      </c>
      <c r="S18" s="717">
        <f t="shared" si="3"/>
        <v>265.74232086675005</v>
      </c>
      <c r="T18" s="717">
        <f t="shared" si="4"/>
        <v>531.4846417335001</v>
      </c>
      <c r="U18" s="716">
        <f t="shared" si="5"/>
        <v>2834.5847559120002</v>
      </c>
      <c r="V18" s="717">
        <f t="shared" si="6"/>
        <v>177.16154724450004</v>
      </c>
      <c r="W18" s="717">
        <f t="shared" si="7"/>
        <v>354.32309448900008</v>
      </c>
      <c r="X18" s="693">
        <f t="shared" si="8"/>
        <v>690.93003425355016</v>
      </c>
      <c r="Y18" s="693">
        <f t="shared" si="0"/>
        <v>173.61831629961006</v>
      </c>
      <c r="Z18" s="718">
        <f t="shared" si="1"/>
        <v>3699.1331064651604</v>
      </c>
      <c r="AA18" s="686">
        <f t="shared" si="9"/>
        <v>406.90464171116764</v>
      </c>
      <c r="AB18" s="687">
        <f t="shared" si="10"/>
        <v>924.7832766162901</v>
      </c>
      <c r="AC18" s="688">
        <f t="shared" si="11"/>
        <v>4623.9163830814505</v>
      </c>
      <c r="AD18" s="687">
        <f t="shared" si="12"/>
        <v>554.86996596977406</v>
      </c>
      <c r="AE18" s="687">
        <f t="shared" si="13"/>
        <v>1017.2616042779191</v>
      </c>
      <c r="AF18" s="687">
        <f t="shared" si="14"/>
        <v>1664.6098979093222</v>
      </c>
      <c r="AG18" s="687">
        <f t="shared" si="15"/>
        <v>2519.1096455027741</v>
      </c>
      <c r="AH18" s="688">
        <f t="shared" si="16"/>
        <v>7143.0260285842251</v>
      </c>
      <c r="AI18" s="687">
        <f t="shared" si="17"/>
        <v>2034.5232085558382</v>
      </c>
      <c r="AJ18" s="687">
        <f t="shared" si="18"/>
        <v>3381.0076593091567</v>
      </c>
      <c r="AK18" s="687">
        <f t="shared" si="19"/>
        <v>3843.3992976173017</v>
      </c>
      <c r="AL18" s="689">
        <f t="shared" si="20"/>
        <v>580.76389771503023</v>
      </c>
      <c r="AM18" s="689">
        <f t="shared" si="21"/>
        <v>926.63284316952263</v>
      </c>
      <c r="AN18" s="690">
        <f t="shared" si="22"/>
        <v>13223.661028991655</v>
      </c>
      <c r="AO18" s="691">
        <f t="shared" si="23"/>
        <v>1163.6821705512657</v>
      </c>
      <c r="AP18" s="692">
        <f t="shared" si="24"/>
        <v>14387.34319954292</v>
      </c>
      <c r="AQ18" s="693">
        <f t="shared" si="25"/>
        <v>604.32130902491872</v>
      </c>
      <c r="AR18" s="694">
        <f t="shared" si="26"/>
        <v>14991.664508567839</v>
      </c>
      <c r="AS18" s="693">
        <f t="shared" si="27"/>
        <v>1317.076638487569</v>
      </c>
      <c r="AT18" s="694">
        <f t="shared" si="28"/>
        <v>16993.726788357177</v>
      </c>
      <c r="AU18" s="842">
        <f t="shared" si="29"/>
        <v>528.94644115966616</v>
      </c>
      <c r="AV18" s="308"/>
      <c r="AW18" s="308"/>
      <c r="AX18" s="308"/>
      <c r="AY18" s="308"/>
    </row>
    <row r="19" spans="2:51" ht="15.75" thickBot="1" x14ac:dyDescent="0.3">
      <c r="B19" s="1294"/>
      <c r="C19" s="1297"/>
      <c r="D19" s="41" t="s">
        <v>173</v>
      </c>
      <c r="E19" s="47"/>
      <c r="F19" s="14"/>
      <c r="G19" s="14"/>
      <c r="H19" s="14"/>
      <c r="I19" s="695"/>
      <c r="J19" s="696">
        <f>J17*22.5/100</f>
        <v>18485.414999999997</v>
      </c>
      <c r="K19" s="719">
        <f t="shared" ref="K19:R19" si="45">K17*22.5/100</f>
        <v>20618.347500000003</v>
      </c>
      <c r="L19" s="720">
        <f t="shared" si="45"/>
        <v>23711.099625000003</v>
      </c>
      <c r="M19" s="721">
        <f t="shared" si="45"/>
        <v>25772.934375000001</v>
      </c>
      <c r="N19" s="721">
        <f t="shared" si="45"/>
        <v>27834.769125000003</v>
      </c>
      <c r="O19" s="722">
        <f t="shared" si="45"/>
        <v>32539.876024500005</v>
      </c>
      <c r="P19" s="723">
        <f t="shared" si="45"/>
        <v>35793.863626950006</v>
      </c>
      <c r="Q19" s="724">
        <f t="shared" si="45"/>
        <v>39047.851229400003</v>
      </c>
      <c r="R19" s="724">
        <f t="shared" si="45"/>
        <v>42301.838831850007</v>
      </c>
      <c r="S19" s="703">
        <f t="shared" si="3"/>
        <v>4880.9814036750004</v>
      </c>
      <c r="T19" s="703">
        <f t="shared" si="4"/>
        <v>9761.9628073500007</v>
      </c>
      <c r="U19" s="702">
        <f t="shared" si="5"/>
        <v>52063.801639200006</v>
      </c>
      <c r="V19" s="703">
        <f t="shared" si="6"/>
        <v>3253.9876024500008</v>
      </c>
      <c r="W19" s="703">
        <f t="shared" si="7"/>
        <v>6507.9752049000017</v>
      </c>
      <c r="X19" s="704">
        <f t="shared" si="8"/>
        <v>12690.551649555004</v>
      </c>
      <c r="Y19" s="704">
        <f t="shared" si="0"/>
        <v>3188.9078504010004</v>
      </c>
      <c r="Z19" s="705">
        <f t="shared" si="1"/>
        <v>67943.261139156006</v>
      </c>
      <c r="AA19" s="686">
        <f t="shared" si="9"/>
        <v>7473.7587253071597</v>
      </c>
      <c r="AB19" s="687">
        <f t="shared" si="10"/>
        <v>16985.815284789001</v>
      </c>
      <c r="AC19" s="688">
        <f t="shared" si="11"/>
        <v>84929.076423945007</v>
      </c>
      <c r="AD19" s="687">
        <f t="shared" si="12"/>
        <v>10191.489170873399</v>
      </c>
      <c r="AE19" s="687">
        <f t="shared" si="13"/>
        <v>18684.396813267904</v>
      </c>
      <c r="AF19" s="687">
        <f t="shared" si="14"/>
        <v>30574.467512620202</v>
      </c>
      <c r="AG19" s="687">
        <f t="shared" si="15"/>
        <v>46269.360835765234</v>
      </c>
      <c r="AH19" s="688">
        <f t="shared" si="16"/>
        <v>131198.43725971025</v>
      </c>
      <c r="AI19" s="687">
        <f t="shared" si="17"/>
        <v>37368.793626535808</v>
      </c>
      <c r="AJ19" s="687">
        <f t="shared" si="18"/>
        <v>62100.14068118859</v>
      </c>
      <c r="AK19" s="687">
        <f t="shared" si="19"/>
        <v>70593.048323583091</v>
      </c>
      <c r="AL19" s="689">
        <f t="shared" si="20"/>
        <v>10667.091998847493</v>
      </c>
      <c r="AM19" s="689">
        <f t="shared" si="21"/>
        <v>17019.786915358578</v>
      </c>
      <c r="AN19" s="690">
        <f t="shared" si="22"/>
        <v>242883.56992025493</v>
      </c>
      <c r="AO19" s="691">
        <f t="shared" si="23"/>
        <v>21373.754152982434</v>
      </c>
      <c r="AP19" s="692">
        <f t="shared" si="24"/>
        <v>264257.32407323737</v>
      </c>
      <c r="AQ19" s="693">
        <f t="shared" si="25"/>
        <v>11099.779145355651</v>
      </c>
      <c r="AR19" s="694">
        <f t="shared" si="26"/>
        <v>275357.10321859299</v>
      </c>
      <c r="AS19" s="693">
        <f t="shared" si="27"/>
        <v>24191.203564057392</v>
      </c>
      <c r="AT19" s="694">
        <f t="shared" si="28"/>
        <v>312129.67570451961</v>
      </c>
      <c r="AU19" s="842">
        <f t="shared" si="29"/>
        <v>9715.3427968101969</v>
      </c>
      <c r="AV19" s="308"/>
      <c r="AW19" s="308"/>
      <c r="AX19" s="308"/>
      <c r="AY19" s="308"/>
    </row>
    <row r="20" spans="2:51" ht="15.75" customHeight="1" thickBot="1" x14ac:dyDescent="0.3">
      <c r="B20" s="1292">
        <v>6</v>
      </c>
      <c r="C20" s="1295" t="s">
        <v>42</v>
      </c>
      <c r="D20" s="37" t="s">
        <v>172</v>
      </c>
      <c r="E20" s="46" t="s">
        <v>43</v>
      </c>
      <c r="F20" s="13" t="s">
        <v>44</v>
      </c>
      <c r="G20" s="13" t="s">
        <v>45</v>
      </c>
      <c r="H20" s="13" t="s">
        <v>46</v>
      </c>
      <c r="I20" s="675">
        <v>67938</v>
      </c>
      <c r="J20" s="676">
        <f t="shared" si="30"/>
        <v>88319.4</v>
      </c>
      <c r="K20" s="677">
        <f t="shared" si="31"/>
        <v>98510.1</v>
      </c>
      <c r="L20" s="706">
        <f t="shared" si="32"/>
        <v>113286.61500000001</v>
      </c>
      <c r="M20" s="707">
        <f t="shared" si="33"/>
        <v>123137.625</v>
      </c>
      <c r="N20" s="707">
        <f t="shared" si="34"/>
        <v>132988.63500000001</v>
      </c>
      <c r="O20" s="708">
        <f>(K20*57.82)/100+K20</f>
        <v>155468.63982000001</v>
      </c>
      <c r="P20" s="681">
        <f t="shared" si="35"/>
        <v>171015.50380200002</v>
      </c>
      <c r="Q20" s="682">
        <f t="shared" si="36"/>
        <v>186562.367784</v>
      </c>
      <c r="R20" s="682">
        <f t="shared" si="37"/>
        <v>202109.23176600001</v>
      </c>
      <c r="S20" s="683">
        <f t="shared" si="3"/>
        <v>23320.295973</v>
      </c>
      <c r="T20" s="683">
        <f t="shared" si="4"/>
        <v>46640.591946</v>
      </c>
      <c r="U20" s="682">
        <f t="shared" si="5"/>
        <v>248749.82371200001</v>
      </c>
      <c r="V20" s="683">
        <f t="shared" si="6"/>
        <v>15546.863982000003</v>
      </c>
      <c r="W20" s="683">
        <f t="shared" si="7"/>
        <v>31093.727964000005</v>
      </c>
      <c r="X20" s="684">
        <f t="shared" si="8"/>
        <v>60632.769529800004</v>
      </c>
      <c r="Y20" s="684">
        <f t="shared" si="0"/>
        <v>15235.926702360004</v>
      </c>
      <c r="Z20" s="685">
        <f t="shared" si="1"/>
        <v>324618.51994416001</v>
      </c>
      <c r="AA20" s="686">
        <f t="shared" si="9"/>
        <v>35708.037193857599</v>
      </c>
      <c r="AB20" s="687">
        <f t="shared" si="10"/>
        <v>81154.629986040003</v>
      </c>
      <c r="AC20" s="688">
        <f t="shared" si="11"/>
        <v>405773.14993020002</v>
      </c>
      <c r="AD20" s="687">
        <f t="shared" si="12"/>
        <v>48692.777991623996</v>
      </c>
      <c r="AE20" s="687">
        <f t="shared" si="13"/>
        <v>89270.092984644012</v>
      </c>
      <c r="AF20" s="687">
        <f t="shared" si="14"/>
        <v>146078.33397487202</v>
      </c>
      <c r="AG20" s="687">
        <f t="shared" si="15"/>
        <v>221065.21208197295</v>
      </c>
      <c r="AH20" s="688">
        <f t="shared" si="16"/>
        <v>626838.36201217305</v>
      </c>
      <c r="AI20" s="687">
        <f t="shared" si="17"/>
        <v>178540.18596928802</v>
      </c>
      <c r="AJ20" s="687">
        <f t="shared" si="18"/>
        <v>296701.32722896227</v>
      </c>
      <c r="AK20" s="687">
        <f t="shared" si="19"/>
        <v>337278.64222198224</v>
      </c>
      <c r="AL20" s="689">
        <f t="shared" si="20"/>
        <v>50965.107631233121</v>
      </c>
      <c r="AM20" s="689">
        <f t="shared" si="21"/>
        <v>81316.939246012087</v>
      </c>
      <c r="AN20" s="690">
        <f t="shared" si="22"/>
        <v>1160446.2850963832</v>
      </c>
      <c r="AO20" s="691">
        <f t="shared" si="23"/>
        <v>102119.27308848173</v>
      </c>
      <c r="AP20" s="692">
        <f t="shared" si="24"/>
        <v>1262565.5581848649</v>
      </c>
      <c r="AQ20" s="693">
        <f t="shared" si="25"/>
        <v>53032.395228904716</v>
      </c>
      <c r="AR20" s="694">
        <f t="shared" si="26"/>
        <v>1315597.9534137696</v>
      </c>
      <c r="AS20" s="693">
        <f t="shared" si="27"/>
        <v>115580.44999559977</v>
      </c>
      <c r="AT20" s="694">
        <f t="shared" si="28"/>
        <v>1491289.5209773621</v>
      </c>
      <c r="AU20" s="842">
        <f t="shared" si="29"/>
        <v>46417.851403855326</v>
      </c>
      <c r="AV20" s="308"/>
      <c r="AW20" s="308"/>
      <c r="AX20" s="308"/>
      <c r="AY20" s="308"/>
    </row>
    <row r="21" spans="2:51" ht="29.25" thickBot="1" x14ac:dyDescent="0.3">
      <c r="B21" s="1293"/>
      <c r="C21" s="1296"/>
      <c r="D21" s="42" t="s">
        <v>80</v>
      </c>
      <c r="E21" s="48"/>
      <c r="F21" s="49"/>
      <c r="G21" s="49"/>
      <c r="H21" s="49"/>
      <c r="I21" s="728"/>
      <c r="J21" s="710"/>
      <c r="K21" s="711">
        <f t="shared" ref="K21:R21" si="46">(K20+(K20*0.225))*0.01</f>
        <v>1206.7487250000001</v>
      </c>
      <c r="L21" s="712">
        <f t="shared" si="46"/>
        <v>1387.76103375</v>
      </c>
      <c r="M21" s="713">
        <f t="shared" si="46"/>
        <v>1508.4359062500002</v>
      </c>
      <c r="N21" s="713">
        <f t="shared" si="46"/>
        <v>1629.1107787500002</v>
      </c>
      <c r="O21" s="714">
        <f t="shared" si="46"/>
        <v>1904.4908377950001</v>
      </c>
      <c r="P21" s="715">
        <f t="shared" si="46"/>
        <v>2094.9399215745002</v>
      </c>
      <c r="Q21" s="716">
        <f t="shared" si="46"/>
        <v>2285.3890053539999</v>
      </c>
      <c r="R21" s="716">
        <f t="shared" si="46"/>
        <v>2475.8380891335</v>
      </c>
      <c r="S21" s="717">
        <f t="shared" si="3"/>
        <v>285.67362566924999</v>
      </c>
      <c r="T21" s="717">
        <f t="shared" si="4"/>
        <v>571.34725133849997</v>
      </c>
      <c r="U21" s="716">
        <f t="shared" si="5"/>
        <v>3047.185340472</v>
      </c>
      <c r="V21" s="717">
        <f t="shared" si="6"/>
        <v>190.4490837795</v>
      </c>
      <c r="W21" s="717">
        <f t="shared" si="7"/>
        <v>380.898167559</v>
      </c>
      <c r="X21" s="693">
        <f t="shared" si="8"/>
        <v>742.75142674005008</v>
      </c>
      <c r="Y21" s="693">
        <f t="shared" si="0"/>
        <v>186.64010210391004</v>
      </c>
      <c r="Z21" s="718">
        <f t="shared" si="1"/>
        <v>3976.5768693159603</v>
      </c>
      <c r="AA21" s="686">
        <f t="shared" si="9"/>
        <v>437.42345562475566</v>
      </c>
      <c r="AB21" s="687">
        <f t="shared" si="10"/>
        <v>994.14421732899007</v>
      </c>
      <c r="AC21" s="688">
        <f t="shared" si="11"/>
        <v>4970.7210866449504</v>
      </c>
      <c r="AD21" s="687">
        <f t="shared" si="12"/>
        <v>596.48653039739406</v>
      </c>
      <c r="AE21" s="687">
        <f t="shared" si="13"/>
        <v>1093.5586390618892</v>
      </c>
      <c r="AF21" s="687">
        <f t="shared" si="14"/>
        <v>1789.459591192182</v>
      </c>
      <c r="AG21" s="687">
        <f t="shared" si="15"/>
        <v>2708.048848004169</v>
      </c>
      <c r="AH21" s="688">
        <f t="shared" si="16"/>
        <v>7678.769934649119</v>
      </c>
      <c r="AI21" s="687">
        <f t="shared" si="17"/>
        <v>2187.1172781237783</v>
      </c>
      <c r="AJ21" s="687">
        <f t="shared" si="18"/>
        <v>3634.5912585547881</v>
      </c>
      <c r="AK21" s="687">
        <f t="shared" si="19"/>
        <v>4131.6633672192829</v>
      </c>
      <c r="AL21" s="689">
        <f t="shared" si="20"/>
        <v>624.32256848260567</v>
      </c>
      <c r="AM21" s="689">
        <f t="shared" si="21"/>
        <v>996.13250576364806</v>
      </c>
      <c r="AN21" s="690">
        <f t="shared" si="22"/>
        <v>14215.466992430696</v>
      </c>
      <c r="AO21" s="691">
        <f t="shared" si="23"/>
        <v>1250.9610953339013</v>
      </c>
      <c r="AP21" s="692">
        <f t="shared" si="24"/>
        <v>15466.428087764598</v>
      </c>
      <c r="AQ21" s="693">
        <f t="shared" si="25"/>
        <v>649.64684155408281</v>
      </c>
      <c r="AR21" s="694">
        <f t="shared" si="26"/>
        <v>16116.07492931868</v>
      </c>
      <c r="AS21" s="693">
        <f t="shared" si="27"/>
        <v>1415.8605124460976</v>
      </c>
      <c r="AT21" s="694">
        <f t="shared" si="28"/>
        <v>18268.296631972687</v>
      </c>
      <c r="AU21" s="842">
        <f t="shared" si="29"/>
        <v>568.61867969722789</v>
      </c>
      <c r="AV21" s="308"/>
      <c r="AW21" s="308"/>
      <c r="AX21" s="308"/>
      <c r="AY21" s="308"/>
    </row>
    <row r="22" spans="2:51" ht="15.75" thickBot="1" x14ac:dyDescent="0.3">
      <c r="B22" s="1294"/>
      <c r="C22" s="1297"/>
      <c r="D22" s="41" t="s">
        <v>173</v>
      </c>
      <c r="E22" s="47"/>
      <c r="F22" s="14"/>
      <c r="G22" s="14"/>
      <c r="H22" s="14"/>
      <c r="I22" s="729"/>
      <c r="J22" s="696">
        <f>J20*22.5/100</f>
        <v>19871.864999999998</v>
      </c>
      <c r="K22" s="719">
        <f t="shared" ref="K22:R22" si="47">K20*22.5/100</f>
        <v>22164.772499999999</v>
      </c>
      <c r="L22" s="720">
        <f t="shared" si="47"/>
        <v>25489.488375000001</v>
      </c>
      <c r="M22" s="721">
        <f t="shared" si="47"/>
        <v>27705.965625000001</v>
      </c>
      <c r="N22" s="721">
        <f t="shared" si="47"/>
        <v>29922.442875000001</v>
      </c>
      <c r="O22" s="722">
        <f t="shared" si="47"/>
        <v>34980.4439595</v>
      </c>
      <c r="P22" s="696">
        <f t="shared" si="47"/>
        <v>38478.488355450005</v>
      </c>
      <c r="Q22" s="730">
        <f t="shared" si="47"/>
        <v>41976.532751400002</v>
      </c>
      <c r="R22" s="730">
        <f t="shared" si="47"/>
        <v>45474.577147350006</v>
      </c>
      <c r="S22" s="731">
        <f t="shared" si="3"/>
        <v>5247.0665939250002</v>
      </c>
      <c r="T22" s="731">
        <f t="shared" si="4"/>
        <v>10494.13318785</v>
      </c>
      <c r="U22" s="732">
        <f t="shared" si="5"/>
        <v>55968.710335199998</v>
      </c>
      <c r="V22" s="731">
        <f t="shared" si="6"/>
        <v>3498.0443959499999</v>
      </c>
      <c r="W22" s="731">
        <f t="shared" si="7"/>
        <v>6996.0887918999997</v>
      </c>
      <c r="X22" s="733">
        <f t="shared" si="8"/>
        <v>13642.373144205001</v>
      </c>
      <c r="Y22" s="733">
        <f t="shared" si="0"/>
        <v>3428.0835080310003</v>
      </c>
      <c r="Z22" s="734">
        <f t="shared" si="1"/>
        <v>73039.166987436009</v>
      </c>
      <c r="AA22" s="735">
        <f t="shared" si="9"/>
        <v>8034.3083686179607</v>
      </c>
      <c r="AB22" s="736">
        <f t="shared" si="10"/>
        <v>18259.791746859002</v>
      </c>
      <c r="AC22" s="737">
        <f t="shared" si="11"/>
        <v>91298.958734295011</v>
      </c>
      <c r="AD22" s="736">
        <f t="shared" si="12"/>
        <v>10955.875048115402</v>
      </c>
      <c r="AE22" s="736">
        <f t="shared" si="13"/>
        <v>20085.770921544903</v>
      </c>
      <c r="AF22" s="736">
        <f t="shared" si="14"/>
        <v>32867.625144346202</v>
      </c>
      <c r="AG22" s="736">
        <f t="shared" si="15"/>
        <v>49739.672718443915</v>
      </c>
      <c r="AH22" s="737">
        <f t="shared" si="16"/>
        <v>141038.63145273895</v>
      </c>
      <c r="AI22" s="736">
        <f t="shared" si="17"/>
        <v>40171.541843089806</v>
      </c>
      <c r="AJ22" s="736">
        <f t="shared" si="18"/>
        <v>66757.798626516524</v>
      </c>
      <c r="AK22" s="736">
        <f t="shared" si="19"/>
        <v>75887.69449994601</v>
      </c>
      <c r="AL22" s="689">
        <f t="shared" si="20"/>
        <v>11467.149217027454</v>
      </c>
      <c r="AM22" s="738">
        <f t="shared" si="21"/>
        <v>18296.311330352721</v>
      </c>
      <c r="AN22" s="739">
        <f t="shared" si="22"/>
        <v>261100.41414668626</v>
      </c>
      <c r="AO22" s="691">
        <f t="shared" si="23"/>
        <v>22976.836444908393</v>
      </c>
      <c r="AP22" s="692">
        <f t="shared" si="24"/>
        <v>284077.25059159467</v>
      </c>
      <c r="AQ22" s="693">
        <f t="shared" si="25"/>
        <v>11932.288926503563</v>
      </c>
      <c r="AR22" s="694">
        <f t="shared" si="26"/>
        <v>296009.53951809823</v>
      </c>
      <c r="AS22" s="693">
        <f t="shared" si="27"/>
        <v>26005.601249009953</v>
      </c>
      <c r="AT22" s="694">
        <f t="shared" si="28"/>
        <v>335540.14221990656</v>
      </c>
      <c r="AU22" s="842">
        <f t="shared" si="29"/>
        <v>10444.01656586745</v>
      </c>
      <c r="AV22" s="308"/>
      <c r="AW22" s="308"/>
      <c r="AX22" s="308"/>
      <c r="AY22" s="308"/>
    </row>
    <row r="23" spans="2:51" s="237" customFormat="1" ht="16.5" thickBot="1" x14ac:dyDescent="0.3">
      <c r="B23" s="1331" t="s">
        <v>176</v>
      </c>
      <c r="C23" s="1332"/>
      <c r="D23" s="1332"/>
      <c r="E23" s="1334" t="s">
        <v>176</v>
      </c>
      <c r="F23" s="1335"/>
      <c r="G23" s="1335"/>
      <c r="H23" s="1335"/>
      <c r="I23" s="1336"/>
      <c r="J23" s="1263" t="s">
        <v>176</v>
      </c>
      <c r="K23" s="1337"/>
      <c r="L23" s="1263" t="s">
        <v>176</v>
      </c>
      <c r="M23" s="1264"/>
      <c r="N23" s="1264"/>
      <c r="O23" s="1337"/>
      <c r="P23" s="1263" t="s">
        <v>176</v>
      </c>
      <c r="Q23" s="1264"/>
      <c r="R23" s="1264"/>
      <c r="S23" s="1264"/>
      <c r="T23" s="1264"/>
      <c r="U23" s="1264"/>
      <c r="V23" s="1264"/>
      <c r="W23" s="1264"/>
      <c r="X23" s="1264"/>
      <c r="Y23" s="1264"/>
      <c r="Z23" s="1264"/>
      <c r="AA23" s="1229" t="s">
        <v>176</v>
      </c>
      <c r="AB23" s="1230"/>
      <c r="AC23" s="1230"/>
      <c r="AD23" s="1230"/>
      <c r="AE23" s="1230"/>
      <c r="AF23" s="1230"/>
      <c r="AG23" s="1230"/>
      <c r="AH23" s="1230"/>
      <c r="AI23" s="1230"/>
      <c r="AJ23" s="1230"/>
      <c r="AK23" s="1230"/>
      <c r="AL23" s="1230"/>
      <c r="AM23" s="1230"/>
      <c r="AN23" s="1229" t="s">
        <v>292</v>
      </c>
      <c r="AO23" s="1230"/>
      <c r="AP23" s="1230"/>
      <c r="AQ23" s="1230"/>
      <c r="AR23" s="1230"/>
      <c r="AS23" s="1230"/>
      <c r="AT23" s="1230"/>
      <c r="AU23" s="1230"/>
      <c r="AV23" s="644"/>
      <c r="AW23" s="644"/>
      <c r="AX23" s="644"/>
      <c r="AY23" s="644"/>
    </row>
    <row r="24" spans="2:51" ht="16.5" customHeight="1" thickBot="1" x14ac:dyDescent="0.3">
      <c r="B24" s="1292">
        <v>16</v>
      </c>
      <c r="C24" s="1295" t="s">
        <v>177</v>
      </c>
      <c r="D24" s="37" t="s">
        <v>172</v>
      </c>
      <c r="E24" s="740"/>
      <c r="F24" s="741"/>
      <c r="G24" s="741"/>
      <c r="H24" s="741"/>
      <c r="I24" s="742"/>
      <c r="J24" s="743">
        <f>J26*80/100</f>
        <v>143840.32000000001</v>
      </c>
      <c r="K24" s="677">
        <f t="shared" ref="K24:R24" si="48">K26*80/100</f>
        <v>160437.28</v>
      </c>
      <c r="L24" s="706">
        <f t="shared" si="48"/>
        <v>184502.872</v>
      </c>
      <c r="M24" s="707">
        <f t="shared" si="48"/>
        <v>200546.6</v>
      </c>
      <c r="N24" s="707">
        <f t="shared" si="48"/>
        <v>216590.32800000004</v>
      </c>
      <c r="O24" s="130">
        <f t="shared" si="48"/>
        <v>253202.11529600003</v>
      </c>
      <c r="P24" s="743">
        <f t="shared" si="48"/>
        <v>278522.32682560006</v>
      </c>
      <c r="Q24" s="744">
        <f t="shared" si="48"/>
        <v>303842.53835519997</v>
      </c>
      <c r="R24" s="744">
        <f t="shared" si="48"/>
        <v>329162.7498848</v>
      </c>
      <c r="S24" s="683">
        <f>O24*15/100</f>
        <v>37980.317294400003</v>
      </c>
      <c r="T24" s="683">
        <f>O24*30/100</f>
        <v>75960.634588800007</v>
      </c>
      <c r="U24" s="682">
        <f>O24*60/100+O24</f>
        <v>405123.38447360008</v>
      </c>
      <c r="V24" s="683">
        <f>O24*10/100</f>
        <v>25320.211529600005</v>
      </c>
      <c r="W24" s="683">
        <f>O24*20/100</f>
        <v>50640.423059200009</v>
      </c>
      <c r="X24" s="745">
        <f>O24*39/100</f>
        <v>98748.824965440013</v>
      </c>
      <c r="Y24" s="745">
        <f>O24*9.8/100</f>
        <v>24813.807299008007</v>
      </c>
      <c r="Z24" s="685">
        <f>O24*108.8/100+O24</f>
        <v>528686.01673804806</v>
      </c>
      <c r="AA24" s="746">
        <f>Z24*11/100</f>
        <v>58155.461841185286</v>
      </c>
      <c r="AB24" s="747">
        <f>Z24*25/100</f>
        <v>132171.50418451201</v>
      </c>
      <c r="AC24" s="748">
        <f>Z24*25/100+Z24</f>
        <v>660857.52092256001</v>
      </c>
      <c r="AD24" s="747">
        <f>Z24*15/100</f>
        <v>79302.902510707208</v>
      </c>
      <c r="AE24" s="747">
        <f>Z24*27.5/100</f>
        <v>145388.65460296322</v>
      </c>
      <c r="AF24" s="747">
        <f>Z24*45/100</f>
        <v>237908.70753212163</v>
      </c>
      <c r="AG24" s="747">
        <f>Z24*68.1/100</f>
        <v>360035.17739861069</v>
      </c>
      <c r="AH24" s="748">
        <f>Z24*93.1/100+Z24</f>
        <v>1020892.6983211708</v>
      </c>
      <c r="AI24" s="747">
        <f>Z24*55/100</f>
        <v>290777.30920592643</v>
      </c>
      <c r="AJ24" s="747">
        <f>Z24*91.4/100</f>
        <v>483219.01929857599</v>
      </c>
      <c r="AK24" s="747">
        <f>Z24*103.9/100</f>
        <v>549304.77139083203</v>
      </c>
      <c r="AL24" s="749">
        <f>Z24*15.7/100</f>
        <v>83003.704627873551</v>
      </c>
      <c r="AM24" s="749">
        <f>Z24*60.48/100</f>
        <v>319749.30292317143</v>
      </c>
      <c r="AN24" s="750">
        <f>Z24*257.48/100+Z24</f>
        <v>1889946.7726351742</v>
      </c>
      <c r="AO24" s="751">
        <f>AN24*8.8/100</f>
        <v>166315.31599189536</v>
      </c>
      <c r="AP24" s="752">
        <f>AN24*8.8/100+AN24</f>
        <v>2056262.0886270695</v>
      </c>
      <c r="AQ24" s="753">
        <f>AN24*4.57/100</f>
        <v>86370.567509427463</v>
      </c>
      <c r="AR24" s="752">
        <f>AN24*13.37/100+AN24</f>
        <v>2142632.6561364969</v>
      </c>
      <c r="AS24" s="753">
        <f>AN24*9.96/100</f>
        <v>188238.69855446339</v>
      </c>
      <c r="AT24" s="752">
        <f>AN24*28.51/100+AN24</f>
        <v>2428770.5975134624</v>
      </c>
      <c r="AU24" s="843">
        <f>AN24*4/100</f>
        <v>75597.870905406962</v>
      </c>
      <c r="AV24" s="308"/>
      <c r="AW24" s="308"/>
      <c r="AX24" s="308"/>
      <c r="AY24" s="308"/>
    </row>
    <row r="25" spans="2:51" ht="29.25" thickBot="1" x14ac:dyDescent="0.3">
      <c r="B25" s="1294"/>
      <c r="C25" s="1333"/>
      <c r="D25" s="43" t="s">
        <v>77</v>
      </c>
      <c r="E25" s="754"/>
      <c r="F25" s="755"/>
      <c r="G25" s="755"/>
      <c r="H25" s="755"/>
      <c r="I25" s="756"/>
      <c r="J25" s="757">
        <f>J24*1/100</f>
        <v>1438.4032</v>
      </c>
      <c r="K25" s="697">
        <f t="shared" ref="K25:R25" si="49">K24*1/100</f>
        <v>1604.3728000000001</v>
      </c>
      <c r="L25" s="698">
        <f t="shared" si="49"/>
        <v>1845.02872</v>
      </c>
      <c r="M25" s="699">
        <f t="shared" si="49"/>
        <v>2005.4660000000001</v>
      </c>
      <c r="N25" s="699">
        <f t="shared" si="49"/>
        <v>2165.9032800000004</v>
      </c>
      <c r="O25" s="700">
        <f t="shared" si="49"/>
        <v>2532.0211529600001</v>
      </c>
      <c r="P25" s="758">
        <f t="shared" si="49"/>
        <v>2785.2232682560007</v>
      </c>
      <c r="Q25" s="759">
        <f t="shared" si="49"/>
        <v>3038.4253835519999</v>
      </c>
      <c r="R25" s="759">
        <f t="shared" si="49"/>
        <v>3291.627498848</v>
      </c>
      <c r="S25" s="703">
        <f t="shared" ref="S25:S27" si="50">O25*15/100</f>
        <v>379.80317294400004</v>
      </c>
      <c r="T25" s="703">
        <f t="shared" ref="T25:T27" si="51">O25*30/100</f>
        <v>759.60634588800008</v>
      </c>
      <c r="U25" s="702">
        <f t="shared" ref="U25:U27" si="52">O25*60/100+O25</f>
        <v>4051.2338447360003</v>
      </c>
      <c r="V25" s="703">
        <f t="shared" ref="V25:V27" si="53">O25*10/100</f>
        <v>253.20211529600002</v>
      </c>
      <c r="W25" s="703">
        <f t="shared" ref="W25:W27" si="54">O25*20/100</f>
        <v>506.40423059200003</v>
      </c>
      <c r="X25" s="760">
        <f t="shared" ref="X25:X27" si="55">O25*39/100</f>
        <v>987.48824965439997</v>
      </c>
      <c r="Y25" s="760">
        <f>O25*9.8/100</f>
        <v>248.13807299008005</v>
      </c>
      <c r="Z25" s="705">
        <f>O25*108.8/100+O25</f>
        <v>5286.8601673804806</v>
      </c>
      <c r="AA25" s="686">
        <f t="shared" ref="AA25:AA27" si="56">Z25*11/100</f>
        <v>581.55461841185286</v>
      </c>
      <c r="AB25" s="687">
        <f t="shared" ref="AB25:AB27" si="57">Z25*25/100</f>
        <v>1321.7150418451201</v>
      </c>
      <c r="AC25" s="688">
        <f t="shared" ref="AC25:AC27" si="58">Z25*25/100+Z25</f>
        <v>6608.5752092256007</v>
      </c>
      <c r="AD25" s="747">
        <f t="shared" ref="AD25:AD27" si="59">Z25*15/100</f>
        <v>793.02902510707213</v>
      </c>
      <c r="AE25" s="747">
        <f t="shared" ref="AE25:AE27" si="60">Z25*27.5/100</f>
        <v>1453.8865460296322</v>
      </c>
      <c r="AF25" s="747">
        <f t="shared" ref="AF25:AF27" si="61">Z25*45/100</f>
        <v>2379.0870753212162</v>
      </c>
      <c r="AG25" s="747">
        <f t="shared" ref="AG25:AG27" si="62">Z25*68.1/100</f>
        <v>3600.3517739861068</v>
      </c>
      <c r="AH25" s="748">
        <f t="shared" ref="AH25:AH27" si="63">Z25*93.1/100+Z25</f>
        <v>10208.926983211708</v>
      </c>
      <c r="AI25" s="747">
        <f t="shared" ref="AI25:AI27" si="64">Z25*55/100</f>
        <v>2907.7730920592644</v>
      </c>
      <c r="AJ25" s="747">
        <f t="shared" ref="AJ25:AJ27" si="65">Z25*91.4/100</f>
        <v>4832.1901929857595</v>
      </c>
      <c r="AK25" s="747">
        <f t="shared" ref="AK25:AK27" si="66">Z25*103.9/100</f>
        <v>5493.0477139083196</v>
      </c>
      <c r="AL25" s="749">
        <f t="shared" ref="AL25:AL27" si="67">Z25*15.7/100</f>
        <v>830.03704627873537</v>
      </c>
      <c r="AM25" s="749">
        <f t="shared" ref="AM25:AM27" si="68">Z25*60.48/100</f>
        <v>3197.4930292317144</v>
      </c>
      <c r="AN25" s="690">
        <f t="shared" ref="AN25:AN27" si="69">Z25*257.48/100+Z25</f>
        <v>18899.467726351744</v>
      </c>
      <c r="AO25" s="691">
        <f t="shared" ref="AO25:AO27" si="70">AN25*8.8/100</f>
        <v>1663.1531599189536</v>
      </c>
      <c r="AP25" s="752">
        <f t="shared" ref="AP25:AP27" si="71">AN25*8.8/100+AN25</f>
        <v>20562.620886270699</v>
      </c>
      <c r="AQ25" s="753">
        <f t="shared" ref="AQ25:AQ27" si="72">AN25*4.57/100</f>
        <v>863.70567509427474</v>
      </c>
      <c r="AR25" s="752">
        <f t="shared" ref="AR25:AR27" si="73">AN25*13.37/100+AN25</f>
        <v>21426.326561364971</v>
      </c>
      <c r="AS25" s="753">
        <f t="shared" ref="AS25:AS27" si="74">AN25*9.96/100</f>
        <v>1882.3869855446339</v>
      </c>
      <c r="AT25" s="752">
        <f t="shared" ref="AT25:AT27" si="75">AN25*28.51/100+AN25</f>
        <v>24287.705975134624</v>
      </c>
      <c r="AU25" s="843">
        <f t="shared" ref="AU25:AU27" si="76">AN25*4/100</f>
        <v>755.97870905406978</v>
      </c>
      <c r="AV25" s="308"/>
      <c r="AW25" s="308"/>
      <c r="AX25" s="308"/>
      <c r="AY25" s="308"/>
    </row>
    <row r="26" spans="2:51" ht="15.75" customHeight="1" thickBot="1" x14ac:dyDescent="0.3">
      <c r="B26" s="1342">
        <v>17</v>
      </c>
      <c r="C26" s="1340" t="s">
        <v>178</v>
      </c>
      <c r="D26" s="37" t="s">
        <v>172</v>
      </c>
      <c r="E26" s="46" t="s">
        <v>49</v>
      </c>
      <c r="F26" s="13" t="s">
        <v>50</v>
      </c>
      <c r="G26" s="13" t="s">
        <v>51</v>
      </c>
      <c r="H26" s="13" t="s">
        <v>52</v>
      </c>
      <c r="I26" s="675">
        <v>138308</v>
      </c>
      <c r="J26" s="676">
        <f>I26*30/100+I26</f>
        <v>179800.4</v>
      </c>
      <c r="K26" s="677">
        <f t="shared" si="31"/>
        <v>200546.6</v>
      </c>
      <c r="L26" s="706">
        <f t="shared" si="32"/>
        <v>230628.59</v>
      </c>
      <c r="M26" s="707">
        <f t="shared" si="33"/>
        <v>250683.25</v>
      </c>
      <c r="N26" s="707">
        <f t="shared" si="34"/>
        <v>270737.91000000003</v>
      </c>
      <c r="O26" s="761">
        <f>(K26*57.82)/100+K26</f>
        <v>316502.64412000001</v>
      </c>
      <c r="P26" s="681">
        <f t="shared" si="35"/>
        <v>348152.90853200003</v>
      </c>
      <c r="Q26" s="682">
        <f t="shared" si="36"/>
        <v>379803.17294399999</v>
      </c>
      <c r="R26" s="682">
        <f t="shared" si="37"/>
        <v>411453.43735600001</v>
      </c>
      <c r="S26" s="683">
        <f t="shared" si="50"/>
        <v>47475.396617999999</v>
      </c>
      <c r="T26" s="683">
        <f t="shared" si="51"/>
        <v>94950.793235999998</v>
      </c>
      <c r="U26" s="682">
        <f t="shared" si="52"/>
        <v>506404.23059200001</v>
      </c>
      <c r="V26" s="683">
        <f t="shared" si="53"/>
        <v>31650.264412000004</v>
      </c>
      <c r="W26" s="683">
        <f t="shared" si="54"/>
        <v>63300.528824000008</v>
      </c>
      <c r="X26" s="745">
        <f t="shared" si="55"/>
        <v>123436.03120680001</v>
      </c>
      <c r="Y26" s="745">
        <f>O26*9.8/100</f>
        <v>31017.259123760006</v>
      </c>
      <c r="Z26" s="685">
        <f>O26*108.8/100+O26</f>
        <v>660857.52092256001</v>
      </c>
      <c r="AA26" s="686">
        <f t="shared" si="56"/>
        <v>72694.327301481593</v>
      </c>
      <c r="AB26" s="687">
        <f t="shared" si="57"/>
        <v>165214.38023064</v>
      </c>
      <c r="AC26" s="688">
        <f t="shared" si="58"/>
        <v>826071.90115320007</v>
      </c>
      <c r="AD26" s="747">
        <f t="shared" si="59"/>
        <v>99128.628138383996</v>
      </c>
      <c r="AE26" s="747">
        <f t="shared" si="60"/>
        <v>181735.818253704</v>
      </c>
      <c r="AF26" s="747">
        <f t="shared" si="61"/>
        <v>297385.88441515202</v>
      </c>
      <c r="AG26" s="747">
        <f t="shared" si="62"/>
        <v>450043.97174826334</v>
      </c>
      <c r="AH26" s="748">
        <f t="shared" si="63"/>
        <v>1276115.8729014634</v>
      </c>
      <c r="AI26" s="747">
        <f t="shared" si="64"/>
        <v>363471.63650740799</v>
      </c>
      <c r="AJ26" s="747">
        <f t="shared" si="65"/>
        <v>604023.77412321989</v>
      </c>
      <c r="AK26" s="747">
        <f t="shared" si="66"/>
        <v>686630.96423853992</v>
      </c>
      <c r="AL26" s="749">
        <f t="shared" si="67"/>
        <v>103754.63078484192</v>
      </c>
      <c r="AM26" s="749">
        <f t="shared" si="68"/>
        <v>399686.62865396426</v>
      </c>
      <c r="AN26" s="690">
        <f t="shared" si="69"/>
        <v>2362433.4657939677</v>
      </c>
      <c r="AO26" s="691">
        <f t="shared" si="70"/>
        <v>207894.14498986918</v>
      </c>
      <c r="AP26" s="752">
        <f t="shared" si="71"/>
        <v>2570327.6107838368</v>
      </c>
      <c r="AQ26" s="753">
        <f t="shared" si="72"/>
        <v>107963.20938678432</v>
      </c>
      <c r="AR26" s="752">
        <f t="shared" si="73"/>
        <v>2678290.8201706214</v>
      </c>
      <c r="AS26" s="753">
        <f t="shared" si="74"/>
        <v>235298.3731930792</v>
      </c>
      <c r="AT26" s="752">
        <f t="shared" si="75"/>
        <v>3035963.2468918278</v>
      </c>
      <c r="AU26" s="843">
        <f t="shared" si="76"/>
        <v>94497.338631758714</v>
      </c>
      <c r="AV26" s="308"/>
      <c r="AW26" s="308"/>
      <c r="AX26" s="308"/>
      <c r="AY26" s="308"/>
    </row>
    <row r="27" spans="2:51" ht="29.25" thickBot="1" x14ac:dyDescent="0.3">
      <c r="B27" s="1343"/>
      <c r="C27" s="1341"/>
      <c r="D27" s="43" t="s">
        <v>77</v>
      </c>
      <c r="E27" s="47"/>
      <c r="F27" s="14"/>
      <c r="G27" s="14"/>
      <c r="H27" s="14"/>
      <c r="I27" s="695"/>
      <c r="J27" s="696">
        <f>J26*1/100</f>
        <v>1798.0039999999999</v>
      </c>
      <c r="K27" s="697">
        <f>(K26)*0.01</f>
        <v>2005.4660000000001</v>
      </c>
      <c r="L27" s="698">
        <f t="shared" ref="L27:Q27" si="77">(L26)*0.01</f>
        <v>2306.2858999999999</v>
      </c>
      <c r="M27" s="699">
        <f t="shared" si="77"/>
        <v>2506.8325</v>
      </c>
      <c r="N27" s="699">
        <f t="shared" si="77"/>
        <v>2707.3791000000006</v>
      </c>
      <c r="O27" s="700">
        <f t="shared" si="77"/>
        <v>3165.0264412000001</v>
      </c>
      <c r="P27" s="762">
        <f t="shared" si="77"/>
        <v>3481.5290853200004</v>
      </c>
      <c r="Q27" s="732">
        <f t="shared" si="77"/>
        <v>3798.0317294400002</v>
      </c>
      <c r="R27" s="732">
        <f>(R26)*0.01</f>
        <v>4114.5343735599999</v>
      </c>
      <c r="S27" s="731">
        <f t="shared" si="50"/>
        <v>474.75396617999996</v>
      </c>
      <c r="T27" s="731">
        <f t="shared" si="51"/>
        <v>949.50793235999993</v>
      </c>
      <c r="U27" s="732">
        <f t="shared" si="52"/>
        <v>5064.0423059200002</v>
      </c>
      <c r="V27" s="731">
        <f t="shared" si="53"/>
        <v>316.50264412000001</v>
      </c>
      <c r="W27" s="731">
        <f t="shared" si="54"/>
        <v>633.00528824000003</v>
      </c>
      <c r="X27" s="763">
        <f t="shared" si="55"/>
        <v>1234.360312068</v>
      </c>
      <c r="Y27" s="763">
        <f>O27*9.8/100</f>
        <v>310.17259123760005</v>
      </c>
      <c r="Z27" s="734">
        <f>O27*108.8/100+O27</f>
        <v>6608.5752092256007</v>
      </c>
      <c r="AA27" s="735">
        <f t="shared" si="56"/>
        <v>726.9432730148161</v>
      </c>
      <c r="AB27" s="736">
        <f t="shared" si="57"/>
        <v>1652.1438023063999</v>
      </c>
      <c r="AC27" s="737">
        <f t="shared" si="58"/>
        <v>8260.7190115320009</v>
      </c>
      <c r="AD27" s="764">
        <f t="shared" si="59"/>
        <v>991.28628138384011</v>
      </c>
      <c r="AE27" s="764">
        <f t="shared" si="60"/>
        <v>1817.3581825370402</v>
      </c>
      <c r="AF27" s="764">
        <f t="shared" si="61"/>
        <v>2973.8588441515203</v>
      </c>
      <c r="AG27" s="764">
        <f t="shared" si="62"/>
        <v>4500.4397174826336</v>
      </c>
      <c r="AH27" s="765">
        <f t="shared" si="63"/>
        <v>12761.158729014634</v>
      </c>
      <c r="AI27" s="764">
        <f t="shared" si="64"/>
        <v>3634.7163650740804</v>
      </c>
      <c r="AJ27" s="764">
        <f t="shared" si="65"/>
        <v>6040.2377412321985</v>
      </c>
      <c r="AK27" s="764">
        <f t="shared" si="66"/>
        <v>6866.3096423853995</v>
      </c>
      <c r="AL27" s="749">
        <f t="shared" si="67"/>
        <v>1037.5463078484192</v>
      </c>
      <c r="AM27" s="766">
        <f t="shared" si="68"/>
        <v>3996.8662865396432</v>
      </c>
      <c r="AN27" s="767">
        <f t="shared" si="69"/>
        <v>23624.334657939678</v>
      </c>
      <c r="AO27" s="768">
        <f t="shared" si="70"/>
        <v>2078.9414498986916</v>
      </c>
      <c r="AP27" s="752">
        <f t="shared" si="71"/>
        <v>25703.27610783837</v>
      </c>
      <c r="AQ27" s="753">
        <f t="shared" si="72"/>
        <v>1079.6320938678434</v>
      </c>
      <c r="AR27" s="752">
        <f t="shared" si="73"/>
        <v>26782.908201706214</v>
      </c>
      <c r="AS27" s="753">
        <f t="shared" si="74"/>
        <v>2352.9837319307921</v>
      </c>
      <c r="AT27" s="752">
        <f t="shared" si="75"/>
        <v>30359.63246891828</v>
      </c>
      <c r="AU27" s="843">
        <f t="shared" si="76"/>
        <v>944.97338631758714</v>
      </c>
      <c r="AV27" s="308"/>
      <c r="AW27" s="308"/>
      <c r="AX27" s="308"/>
      <c r="AY27" s="308"/>
    </row>
    <row r="28" spans="2:51" ht="16.5" customHeight="1" thickBot="1" x14ac:dyDescent="0.3">
      <c r="B28" s="1352" t="s">
        <v>179</v>
      </c>
      <c r="C28" s="1353"/>
      <c r="D28" s="1353"/>
      <c r="E28" s="1334" t="s">
        <v>179</v>
      </c>
      <c r="F28" s="1335"/>
      <c r="G28" s="1335"/>
      <c r="H28" s="1335"/>
      <c r="I28" s="1336"/>
      <c r="J28" s="1263" t="s">
        <v>211</v>
      </c>
      <c r="K28" s="1337"/>
      <c r="L28" s="1357" t="s">
        <v>211</v>
      </c>
      <c r="M28" s="1358"/>
      <c r="N28" s="1358"/>
      <c r="O28" s="1359"/>
      <c r="P28" s="1251" t="s">
        <v>212</v>
      </c>
      <c r="Q28" s="1252"/>
      <c r="R28" s="1252"/>
      <c r="S28" s="1252"/>
      <c r="T28" s="1252"/>
      <c r="U28" s="1252"/>
      <c r="V28" s="1252"/>
      <c r="W28" s="1252"/>
      <c r="X28" s="1252"/>
      <c r="Y28" s="1252"/>
      <c r="Z28" s="1252"/>
      <c r="AA28" s="1222" t="s">
        <v>248</v>
      </c>
      <c r="AB28" s="1223"/>
      <c r="AC28" s="1223"/>
      <c r="AD28" s="1223"/>
      <c r="AE28" s="1223"/>
      <c r="AF28" s="1223"/>
      <c r="AG28" s="1223"/>
      <c r="AH28" s="1223"/>
      <c r="AI28" s="1223"/>
      <c r="AJ28" s="1223"/>
      <c r="AK28" s="1223"/>
      <c r="AL28" s="1223"/>
      <c r="AM28" s="1224"/>
      <c r="AN28" s="1231" t="s">
        <v>248</v>
      </c>
      <c r="AO28" s="1232"/>
      <c r="AP28" s="1232"/>
      <c r="AQ28" s="1232"/>
      <c r="AR28" s="1232"/>
      <c r="AS28" s="1232"/>
      <c r="AT28" s="1232"/>
      <c r="AU28" s="1233"/>
      <c r="AV28" s="308"/>
      <c r="AW28" s="308"/>
      <c r="AX28" s="308"/>
      <c r="AY28" s="308"/>
    </row>
    <row r="29" spans="2:51" ht="15.75" thickBot="1" x14ac:dyDescent="0.3">
      <c r="B29" s="1344">
        <v>3</v>
      </c>
      <c r="C29" s="1347" t="s">
        <v>180</v>
      </c>
      <c r="D29" s="44" t="s">
        <v>172</v>
      </c>
      <c r="E29" s="46" t="s">
        <v>181</v>
      </c>
      <c r="F29" s="13" t="s">
        <v>30</v>
      </c>
      <c r="G29" s="13" t="s">
        <v>31</v>
      </c>
      <c r="H29" s="13" t="s">
        <v>32</v>
      </c>
      <c r="I29" s="675">
        <v>54688</v>
      </c>
      <c r="J29" s="676">
        <f t="shared" ref="J29" si="78">I29*30/100+I29</f>
        <v>71094.399999999994</v>
      </c>
      <c r="K29" s="677">
        <f t="shared" ref="K29" si="79">I29*45/100+I29</f>
        <v>79297.600000000006</v>
      </c>
      <c r="L29" s="706">
        <f t="shared" ref="L29" si="80">K29*15/100+K29</f>
        <v>91192.24</v>
      </c>
      <c r="M29" s="707">
        <f t="shared" ref="M29" si="81">K29*25/100+K29</f>
        <v>99122</v>
      </c>
      <c r="N29" s="707">
        <f>K29*35/100+K29</f>
        <v>107051.76000000001</v>
      </c>
      <c r="O29" s="130">
        <v>107052</v>
      </c>
      <c r="P29" s="743">
        <f>O29-O29*1/100</f>
        <v>105981.48</v>
      </c>
      <c r="Q29" s="682">
        <f>P29*20/100+P29</f>
        <v>127177.776</v>
      </c>
      <c r="R29" s="682">
        <f>P29*30/100+P29</f>
        <v>137775.924</v>
      </c>
      <c r="S29" s="683">
        <f>P29*15/100</f>
        <v>15897.222</v>
      </c>
      <c r="T29" s="683">
        <f>P29*30/100</f>
        <v>31794.444</v>
      </c>
      <c r="U29" s="682">
        <f>P29*60/100+P29</f>
        <v>169570.36799999999</v>
      </c>
      <c r="V29" s="683">
        <f>P29*10/100</f>
        <v>10598.148000000001</v>
      </c>
      <c r="W29" s="683">
        <f>P29*20/100</f>
        <v>21196.296000000002</v>
      </c>
      <c r="X29" s="745">
        <f>P29*39/100</f>
        <v>41332.777199999997</v>
      </c>
      <c r="Y29" s="745">
        <f t="shared" ref="Y29:Y44" si="82">P29*9.8/100</f>
        <v>10386.18504</v>
      </c>
      <c r="Z29" s="685">
        <f>P29*108.8/100+P29</f>
        <v>221289.33023999998</v>
      </c>
      <c r="AA29" s="686">
        <f>Z29*11/100</f>
        <v>24341.826326399998</v>
      </c>
      <c r="AB29" s="687">
        <f>Z29*25/100</f>
        <v>55322.332559999988</v>
      </c>
      <c r="AC29" s="688">
        <f>Z29*25/100+Z29</f>
        <v>276611.66279999999</v>
      </c>
      <c r="AD29" s="687">
        <f>Z29*15/100</f>
        <v>33193.399535999997</v>
      </c>
      <c r="AE29" s="687">
        <f>Z29*27.5/100</f>
        <v>60854.565815999995</v>
      </c>
      <c r="AF29" s="687">
        <f>Z29*45/100</f>
        <v>99580.198608000006</v>
      </c>
      <c r="AG29" s="687">
        <f>Z29*68.1/100</f>
        <v>150698.03389343998</v>
      </c>
      <c r="AH29" s="688">
        <f>Z29*93.1/100+Z29</f>
        <v>427309.69669343997</v>
      </c>
      <c r="AI29" s="687">
        <f>Z29*55/100</f>
        <v>121709.13163199999</v>
      </c>
      <c r="AJ29" s="687">
        <f>Z29*91.4/100</f>
        <v>202258.44783936001</v>
      </c>
      <c r="AK29" s="687">
        <f>Z29*103.9/100</f>
        <v>229919.61411935999</v>
      </c>
      <c r="AL29" s="689">
        <f>Z29*15.7/100</f>
        <v>34742.424847679998</v>
      </c>
      <c r="AM29" s="769">
        <f>Z29*25.05/100</f>
        <v>55432.97722511999</v>
      </c>
      <c r="AN29" s="770">
        <f>Z29*257.48/100+Z29</f>
        <v>791065.09774195193</v>
      </c>
      <c r="AO29" s="751">
        <f>AN29*8.8/100</f>
        <v>69613.728601291776</v>
      </c>
      <c r="AP29" s="752">
        <f>AN29*8.8/100+AN29</f>
        <v>860678.82634324371</v>
      </c>
      <c r="AQ29" s="753">
        <f>AN29*4.57/100</f>
        <v>36151.674966807208</v>
      </c>
      <c r="AR29" s="752">
        <f>AN29*13.37/100+AN29</f>
        <v>896830.50131005095</v>
      </c>
      <c r="AS29" s="753">
        <f>AN29*9.96/100</f>
        <v>78790.083735098422</v>
      </c>
      <c r="AT29" s="752">
        <f>AN29*28.51/100+AN29</f>
        <v>1016597.7571081824</v>
      </c>
      <c r="AU29" s="843">
        <f>AN29*4/100</f>
        <v>31642.603909678077</v>
      </c>
      <c r="AV29" s="308"/>
      <c r="AW29" s="308"/>
      <c r="AX29" s="308"/>
      <c r="AY29" s="308"/>
    </row>
    <row r="30" spans="2:51" ht="15.75" thickBot="1" x14ac:dyDescent="0.3">
      <c r="B30" s="1345"/>
      <c r="C30" s="1348"/>
      <c r="D30" s="45" t="s">
        <v>182</v>
      </c>
      <c r="E30" s="51">
        <f>(41288*35)/100</f>
        <v>14450.8</v>
      </c>
      <c r="F30" s="49">
        <f>(44666*35)/100</f>
        <v>15633.1</v>
      </c>
      <c r="G30" s="49">
        <f>(46242*35)/100</f>
        <v>16184.7</v>
      </c>
      <c r="H30" s="49">
        <f>(49621*35)/100</f>
        <v>17367.349999999999</v>
      </c>
      <c r="I30" s="709">
        <f>(54688*35)/100</f>
        <v>19140.8</v>
      </c>
      <c r="J30" s="710">
        <f>(71094*35)/100</f>
        <v>24882.9</v>
      </c>
      <c r="K30" s="711">
        <f>(79298*35)/100</f>
        <v>27754.3</v>
      </c>
      <c r="L30" s="712">
        <f>(91192*35)/100</f>
        <v>31917.200000000001</v>
      </c>
      <c r="M30" s="713">
        <f>(M29*35)/100</f>
        <v>34692.699999999997</v>
      </c>
      <c r="N30" s="713">
        <f t="shared" ref="N30:P30" si="83">(N29*35)/100</f>
        <v>37468.116000000009</v>
      </c>
      <c r="O30" s="714">
        <f t="shared" si="83"/>
        <v>37468.199999999997</v>
      </c>
      <c r="P30" s="771">
        <f t="shared" si="83"/>
        <v>37093.517999999996</v>
      </c>
      <c r="Q30" s="682">
        <f t="shared" ref="Q30:Q44" si="84">P30*20/100+P30</f>
        <v>44512.221599999997</v>
      </c>
      <c r="R30" s="682">
        <f t="shared" ref="R30:R44" si="85">P30*30/100+P30</f>
        <v>48221.573399999994</v>
      </c>
      <c r="S30" s="683">
        <f t="shared" ref="S30:S44" si="86">P30*15/100</f>
        <v>5564.0276999999987</v>
      </c>
      <c r="T30" s="683">
        <f t="shared" ref="T30:T44" si="87">P30*30/100</f>
        <v>11128.055399999997</v>
      </c>
      <c r="U30" s="682">
        <f t="shared" ref="U30:U44" si="88">P30*60/100+P30</f>
        <v>59349.628799999991</v>
      </c>
      <c r="V30" s="683">
        <f t="shared" ref="V30:V44" si="89">P30*10/100</f>
        <v>3709.3517999999995</v>
      </c>
      <c r="W30" s="683">
        <f t="shared" ref="W30:W44" si="90">P30*20/100</f>
        <v>7418.7035999999989</v>
      </c>
      <c r="X30" s="745">
        <f t="shared" ref="X30:X44" si="91">P30*39/100</f>
        <v>14466.472019999997</v>
      </c>
      <c r="Y30" s="745">
        <f t="shared" si="82"/>
        <v>3635.1647639999996</v>
      </c>
      <c r="Z30" s="685">
        <f>P30*108.8/100+P30</f>
        <v>77451.265583999993</v>
      </c>
      <c r="AA30" s="686">
        <f t="shared" ref="AA30:AA44" si="92">Z30*11/100</f>
        <v>8519.63921424</v>
      </c>
      <c r="AB30" s="687">
        <f t="shared" ref="AB30:AB44" si="93">Z30*25/100</f>
        <v>19362.816395999998</v>
      </c>
      <c r="AC30" s="688">
        <f t="shared" ref="AC30:AC44" si="94">Z30*25/100+Z30</f>
        <v>96814.081979999988</v>
      </c>
      <c r="AD30" s="687">
        <f t="shared" ref="AD30:AD44" si="95">Z30*15/100</f>
        <v>11617.689837599999</v>
      </c>
      <c r="AE30" s="687">
        <f t="shared" ref="AE30:AE44" si="96">Z30*27.5/100</f>
        <v>21299.0980356</v>
      </c>
      <c r="AF30" s="687">
        <f t="shared" ref="AF30:AF44" si="97">Z30*45/100</f>
        <v>34853.069512799993</v>
      </c>
      <c r="AG30" s="687">
        <f t="shared" ref="AG30:AG44" si="98">Z30*68.1/100</f>
        <v>52744.311862703988</v>
      </c>
      <c r="AH30" s="688">
        <f t="shared" ref="AH30:AH44" si="99">Z30*93.1/100+Z30</f>
        <v>149558.39384270398</v>
      </c>
      <c r="AI30" s="687">
        <f t="shared" ref="AI30:AI44" si="100">Z30*55/100</f>
        <v>42598.1960712</v>
      </c>
      <c r="AJ30" s="687">
        <f t="shared" ref="AJ30:AJ44" si="101">Z30*91.4/100</f>
        <v>70790.456743775998</v>
      </c>
      <c r="AK30" s="687">
        <f t="shared" ref="AK30:AK44" si="102">Z30*103.9/100</f>
        <v>80471.864941775988</v>
      </c>
      <c r="AL30" s="689">
        <f t="shared" ref="AL30:AL44" si="103">Z30*15.7/100</f>
        <v>12159.848696687999</v>
      </c>
      <c r="AM30" s="769">
        <f t="shared" ref="AM30:AM44" si="104">Z30*25.05/100</f>
        <v>19401.542028791999</v>
      </c>
      <c r="AN30" s="772">
        <f t="shared" ref="AN30:AN44" si="105">Z30*257.48/100+Z30</f>
        <v>276872.78420968319</v>
      </c>
      <c r="AO30" s="691">
        <f t="shared" ref="AO30:AO44" si="106">AN30*8.8/100</f>
        <v>24364.805010452121</v>
      </c>
      <c r="AP30" s="752">
        <f t="shared" ref="AP30:AP44" si="107">AN30*8.8/100+AN30</f>
        <v>301237.5892201353</v>
      </c>
      <c r="AQ30" s="753">
        <f t="shared" ref="AQ30:AQ44" si="108">AN30*4.57/100</f>
        <v>12653.086238382522</v>
      </c>
      <c r="AR30" s="752">
        <f t="shared" ref="AR30:AR44" si="109">AN30*13.37/100+AN30</f>
        <v>313890.67545851786</v>
      </c>
      <c r="AS30" s="753">
        <f t="shared" ref="AS30:AS44" si="110">AN30*9.96/100</f>
        <v>27576.529307284447</v>
      </c>
      <c r="AT30" s="752">
        <f t="shared" ref="AT30:AT44" si="111">AN30*28.51/100+AN30</f>
        <v>355809.21498786384</v>
      </c>
      <c r="AU30" s="843">
        <f t="shared" ref="AU30:AU44" si="112">AN30*4/100</f>
        <v>11074.911368387327</v>
      </c>
      <c r="AV30" s="308"/>
      <c r="AW30" s="308"/>
      <c r="AX30" s="308"/>
      <c r="AY30" s="308"/>
    </row>
    <row r="31" spans="2:51" ht="15.75" thickBot="1" x14ac:dyDescent="0.3">
      <c r="B31" s="1345"/>
      <c r="C31" s="1348"/>
      <c r="D31" s="149" t="s">
        <v>237</v>
      </c>
      <c r="E31" s="150"/>
      <c r="F31" s="151"/>
      <c r="G31" s="151"/>
      <c r="H31" s="151"/>
      <c r="I31" s="773"/>
      <c r="J31" s="723"/>
      <c r="K31" s="774"/>
      <c r="L31" s="775"/>
      <c r="M31" s="776"/>
      <c r="N31" s="776"/>
      <c r="O31" s="777"/>
      <c r="P31" s="771"/>
      <c r="Q31" s="682">
        <f t="shared" si="84"/>
        <v>0</v>
      </c>
      <c r="R31" s="682">
        <f t="shared" si="85"/>
        <v>0</v>
      </c>
      <c r="S31" s="683">
        <f t="shared" si="86"/>
        <v>0</v>
      </c>
      <c r="T31" s="683">
        <f t="shared" si="87"/>
        <v>0</v>
      </c>
      <c r="U31" s="682">
        <f t="shared" si="88"/>
        <v>0</v>
      </c>
      <c r="V31" s="683">
        <f t="shared" si="89"/>
        <v>0</v>
      </c>
      <c r="W31" s="683">
        <f t="shared" si="90"/>
        <v>0</v>
      </c>
      <c r="X31" s="745">
        <f t="shared" si="91"/>
        <v>0</v>
      </c>
      <c r="Y31" s="745">
        <f t="shared" si="82"/>
        <v>0</v>
      </c>
      <c r="Z31" s="685">
        <f>(Z29+Z30)*15/100</f>
        <v>44811.0893736</v>
      </c>
      <c r="AA31" s="686">
        <f t="shared" si="92"/>
        <v>4929.2198310960002</v>
      </c>
      <c r="AB31" s="687">
        <f t="shared" si="93"/>
        <v>11202.7723434</v>
      </c>
      <c r="AC31" s="688">
        <f t="shared" si="94"/>
        <v>56013.861717</v>
      </c>
      <c r="AD31" s="687">
        <f t="shared" si="95"/>
        <v>6721.6634060400002</v>
      </c>
      <c r="AE31" s="687">
        <f t="shared" si="96"/>
        <v>12323.049577739999</v>
      </c>
      <c r="AF31" s="687">
        <f t="shared" si="97"/>
        <v>20164.990218120001</v>
      </c>
      <c r="AG31" s="687">
        <f t="shared" si="98"/>
        <v>30516.351863421598</v>
      </c>
      <c r="AH31" s="688">
        <f t="shared" si="99"/>
        <v>86530.213580421594</v>
      </c>
      <c r="AI31" s="687">
        <f t="shared" si="100"/>
        <v>24646.099155479998</v>
      </c>
      <c r="AJ31" s="687">
        <f t="shared" si="101"/>
        <v>40957.335687470404</v>
      </c>
      <c r="AK31" s="687">
        <f t="shared" si="102"/>
        <v>46558.7218591704</v>
      </c>
      <c r="AL31" s="689">
        <f t="shared" si="103"/>
        <v>7035.3410316551999</v>
      </c>
      <c r="AM31" s="769">
        <f t="shared" si="104"/>
        <v>11225.177888086801</v>
      </c>
      <c r="AN31" s="772">
        <f t="shared" si="105"/>
        <v>160190.68229274527</v>
      </c>
      <c r="AO31" s="691">
        <f t="shared" si="106"/>
        <v>14096.780041761585</v>
      </c>
      <c r="AP31" s="752">
        <f t="shared" si="107"/>
        <v>174287.46233450685</v>
      </c>
      <c r="AQ31" s="753">
        <f t="shared" si="108"/>
        <v>7320.7141807784592</v>
      </c>
      <c r="AR31" s="752">
        <f t="shared" si="109"/>
        <v>181608.1765152853</v>
      </c>
      <c r="AS31" s="753">
        <f t="shared" si="110"/>
        <v>15954.991956357429</v>
      </c>
      <c r="AT31" s="752">
        <f t="shared" si="111"/>
        <v>205861.04581440694</v>
      </c>
      <c r="AU31" s="843">
        <f t="shared" si="112"/>
        <v>6407.6272917098113</v>
      </c>
      <c r="AV31" s="308"/>
      <c r="AW31" s="308"/>
      <c r="AX31" s="308"/>
      <c r="AY31" s="308"/>
    </row>
    <row r="32" spans="2:51" ht="29.25" thickBot="1" x14ac:dyDescent="0.3">
      <c r="B32" s="1346"/>
      <c r="C32" s="1349"/>
      <c r="D32" s="43" t="s">
        <v>77</v>
      </c>
      <c r="E32" s="47"/>
      <c r="F32" s="14"/>
      <c r="G32" s="14"/>
      <c r="H32" s="14"/>
      <c r="I32" s="695"/>
      <c r="J32" s="696">
        <f>(J29+(J30))*1/100</f>
        <v>959.77299999999991</v>
      </c>
      <c r="K32" s="697">
        <f>(K29+(K30))*1/100</f>
        <v>1070.519</v>
      </c>
      <c r="L32" s="698">
        <f t="shared" ref="L32:P32" si="113">(L29+(L30))*1/100</f>
        <v>1231.0944</v>
      </c>
      <c r="M32" s="699">
        <f t="shared" si="113"/>
        <v>1338.1470000000002</v>
      </c>
      <c r="N32" s="699">
        <f t="shared" si="113"/>
        <v>1445.1987600000002</v>
      </c>
      <c r="O32" s="700">
        <f t="shared" si="113"/>
        <v>1445.2020000000002</v>
      </c>
      <c r="P32" s="758">
        <f t="shared" si="113"/>
        <v>1430.7499799999998</v>
      </c>
      <c r="Q32" s="682">
        <f t="shared" si="84"/>
        <v>1716.8999759999997</v>
      </c>
      <c r="R32" s="682">
        <f t="shared" si="85"/>
        <v>1859.9749739999997</v>
      </c>
      <c r="S32" s="683">
        <f t="shared" si="86"/>
        <v>214.61249699999996</v>
      </c>
      <c r="T32" s="683">
        <f t="shared" si="87"/>
        <v>429.22499399999992</v>
      </c>
      <c r="U32" s="682">
        <f t="shared" si="88"/>
        <v>2289.1999679999999</v>
      </c>
      <c r="V32" s="683">
        <f t="shared" si="89"/>
        <v>143.07499799999997</v>
      </c>
      <c r="W32" s="683">
        <f t="shared" si="90"/>
        <v>286.14999599999993</v>
      </c>
      <c r="X32" s="745">
        <f t="shared" si="91"/>
        <v>557.9924921999999</v>
      </c>
      <c r="Y32" s="745">
        <f t="shared" si="82"/>
        <v>140.21349803999999</v>
      </c>
      <c r="Z32" s="685">
        <f>P32*108.8/100+P32</f>
        <v>2987.4059582399996</v>
      </c>
      <c r="AA32" s="686">
        <f t="shared" si="92"/>
        <v>328.6146554064</v>
      </c>
      <c r="AB32" s="687">
        <f t="shared" si="93"/>
        <v>746.85148955999989</v>
      </c>
      <c r="AC32" s="688">
        <f t="shared" si="94"/>
        <v>3734.2574477999997</v>
      </c>
      <c r="AD32" s="687">
        <f t="shared" si="95"/>
        <v>448.11089373599992</v>
      </c>
      <c r="AE32" s="687">
        <f t="shared" si="96"/>
        <v>821.53663851599993</v>
      </c>
      <c r="AF32" s="687">
        <f t="shared" si="97"/>
        <v>1344.3326812079997</v>
      </c>
      <c r="AG32" s="687">
        <f t="shared" si="98"/>
        <v>2034.4234575614394</v>
      </c>
      <c r="AH32" s="688">
        <f t="shared" si="99"/>
        <v>5768.6809053614397</v>
      </c>
      <c r="AI32" s="687">
        <f t="shared" si="100"/>
        <v>1643.0732770319999</v>
      </c>
      <c r="AJ32" s="687">
        <f t="shared" si="101"/>
        <v>2730.4890458313598</v>
      </c>
      <c r="AK32" s="687">
        <f t="shared" si="102"/>
        <v>3103.9147906113594</v>
      </c>
      <c r="AL32" s="689">
        <f t="shared" si="103"/>
        <v>469.02273544367995</v>
      </c>
      <c r="AM32" s="769">
        <f t="shared" si="104"/>
        <v>748.34519253911992</v>
      </c>
      <c r="AN32" s="772">
        <f t="shared" si="105"/>
        <v>10679.378819516351</v>
      </c>
      <c r="AO32" s="691">
        <f t="shared" si="106"/>
        <v>939.78533611743899</v>
      </c>
      <c r="AP32" s="752">
        <f t="shared" si="107"/>
        <v>11619.164155633789</v>
      </c>
      <c r="AQ32" s="753">
        <f t="shared" si="108"/>
        <v>488.0476120518972</v>
      </c>
      <c r="AR32" s="752">
        <f t="shared" si="109"/>
        <v>12107.211767685687</v>
      </c>
      <c r="AS32" s="753">
        <f t="shared" si="110"/>
        <v>1063.6661304238287</v>
      </c>
      <c r="AT32" s="752">
        <f t="shared" si="111"/>
        <v>13724.069720960462</v>
      </c>
      <c r="AU32" s="843">
        <f t="shared" si="112"/>
        <v>427.175152780654</v>
      </c>
      <c r="AV32" s="308"/>
      <c r="AW32" s="308"/>
      <c r="AX32" s="308"/>
      <c r="AY32" s="308"/>
    </row>
    <row r="33" spans="1:51" ht="15.75" thickBot="1" x14ac:dyDescent="0.3">
      <c r="B33" s="1344">
        <v>5</v>
      </c>
      <c r="C33" s="1347" t="s">
        <v>183</v>
      </c>
      <c r="D33" s="44" t="s">
        <v>172</v>
      </c>
      <c r="E33" s="46" t="s">
        <v>184</v>
      </c>
      <c r="F33" s="13" t="s">
        <v>39</v>
      </c>
      <c r="G33" s="13" t="s">
        <v>40</v>
      </c>
      <c r="H33" s="13" t="s">
        <v>41</v>
      </c>
      <c r="I33" s="675">
        <v>63198</v>
      </c>
      <c r="J33" s="676">
        <f t="shared" ref="J33" si="114">I33*30/100+I33</f>
        <v>82157.399999999994</v>
      </c>
      <c r="K33" s="677">
        <f t="shared" ref="K33" si="115">I33*45/100+I33</f>
        <v>91637.1</v>
      </c>
      <c r="L33" s="706">
        <f t="shared" ref="L33" si="116">K33*15/100+K33</f>
        <v>105382.66500000001</v>
      </c>
      <c r="M33" s="707">
        <f t="shared" ref="M33" si="117">K33*25/100+K33</f>
        <v>114546.375</v>
      </c>
      <c r="N33" s="707">
        <f t="shared" ref="N33" si="118">K33*35/100+K33</f>
        <v>123710.08500000001</v>
      </c>
      <c r="O33" s="130">
        <v>123710</v>
      </c>
      <c r="P33" s="743">
        <f>O33-O33*1/100</f>
        <v>122472.9</v>
      </c>
      <c r="Q33" s="682">
        <f t="shared" si="84"/>
        <v>146967.47999999998</v>
      </c>
      <c r="R33" s="682">
        <f t="shared" si="85"/>
        <v>159214.76999999999</v>
      </c>
      <c r="S33" s="683">
        <f t="shared" si="86"/>
        <v>18370.935000000001</v>
      </c>
      <c r="T33" s="683">
        <f t="shared" si="87"/>
        <v>36741.870000000003</v>
      </c>
      <c r="U33" s="682">
        <f t="shared" si="88"/>
        <v>195956.64</v>
      </c>
      <c r="V33" s="683">
        <f t="shared" si="89"/>
        <v>12247.29</v>
      </c>
      <c r="W33" s="683">
        <f t="shared" si="90"/>
        <v>24494.58</v>
      </c>
      <c r="X33" s="745">
        <f t="shared" si="91"/>
        <v>47764.430999999997</v>
      </c>
      <c r="Y33" s="745">
        <f t="shared" si="82"/>
        <v>12002.3442</v>
      </c>
      <c r="Z33" s="685">
        <f>P33*108.8/100+P33</f>
        <v>255723.41519999999</v>
      </c>
      <c r="AA33" s="686">
        <f t="shared" si="92"/>
        <v>28129.575671999999</v>
      </c>
      <c r="AB33" s="687">
        <f t="shared" si="93"/>
        <v>63930.853799999997</v>
      </c>
      <c r="AC33" s="688">
        <f t="shared" si="94"/>
        <v>319654.26899999997</v>
      </c>
      <c r="AD33" s="687">
        <f t="shared" si="95"/>
        <v>38358.512279999995</v>
      </c>
      <c r="AE33" s="687">
        <f t="shared" si="96"/>
        <v>70323.939180000001</v>
      </c>
      <c r="AF33" s="687">
        <f t="shared" si="97"/>
        <v>115075.53684</v>
      </c>
      <c r="AG33" s="687">
        <f t="shared" si="98"/>
        <v>174147.64575119998</v>
      </c>
      <c r="AH33" s="688">
        <f t="shared" si="99"/>
        <v>493801.91475119995</v>
      </c>
      <c r="AI33" s="687">
        <f t="shared" si="100"/>
        <v>140647.87836</v>
      </c>
      <c r="AJ33" s="687">
        <f t="shared" si="101"/>
        <v>233731.2014928</v>
      </c>
      <c r="AK33" s="687">
        <f t="shared" si="102"/>
        <v>265696.62839279999</v>
      </c>
      <c r="AL33" s="689">
        <f t="shared" si="103"/>
        <v>40148.576186399994</v>
      </c>
      <c r="AM33" s="769">
        <f t="shared" si="104"/>
        <v>64058.715507599998</v>
      </c>
      <c r="AN33" s="772">
        <f t="shared" si="105"/>
        <v>914160.06465696008</v>
      </c>
      <c r="AO33" s="691">
        <f t="shared" si="106"/>
        <v>80446.085689812491</v>
      </c>
      <c r="AP33" s="752">
        <f t="shared" si="107"/>
        <v>994606.15034677251</v>
      </c>
      <c r="AQ33" s="753">
        <f t="shared" si="108"/>
        <v>41777.114954823075</v>
      </c>
      <c r="AR33" s="752">
        <f t="shared" si="109"/>
        <v>1036383.2653015957</v>
      </c>
      <c r="AS33" s="753">
        <f t="shared" si="110"/>
        <v>91050.342439833228</v>
      </c>
      <c r="AT33" s="752">
        <f t="shared" si="111"/>
        <v>1174787.0990906595</v>
      </c>
      <c r="AU33" s="843">
        <f t="shared" si="112"/>
        <v>36566.402586278404</v>
      </c>
      <c r="AV33" s="308"/>
      <c r="AW33" s="308"/>
      <c r="AX33" s="308"/>
      <c r="AY33" s="308"/>
    </row>
    <row r="34" spans="1:51" ht="15.75" thickBot="1" x14ac:dyDescent="0.3">
      <c r="B34" s="1345"/>
      <c r="C34" s="1348"/>
      <c r="D34" s="45" t="s">
        <v>182</v>
      </c>
      <c r="E34" s="48">
        <f>(47713*35)/100</f>
        <v>16699.55</v>
      </c>
      <c r="F34" s="49">
        <f>(51617*35)/100</f>
        <v>18065.95</v>
      </c>
      <c r="G34" s="49">
        <f>(53439*35)/100</f>
        <v>18703.650000000001</v>
      </c>
      <c r="H34" s="49">
        <f>(57343*35)/100</f>
        <v>20070.05</v>
      </c>
      <c r="I34" s="709">
        <f>(63198*35)/100</f>
        <v>22119.3</v>
      </c>
      <c r="J34" s="710">
        <f>(J33*35)/100</f>
        <v>28755.09</v>
      </c>
      <c r="K34" s="778">
        <f>(K33*35)/100</f>
        <v>32072.985000000001</v>
      </c>
      <c r="L34" s="779">
        <f t="shared" ref="L34:P34" si="119">(L33*35)/100</f>
        <v>36883.932750000007</v>
      </c>
      <c r="M34" s="780">
        <f t="shared" si="119"/>
        <v>40091.231249999997</v>
      </c>
      <c r="N34" s="780">
        <f t="shared" si="119"/>
        <v>43298.529750000009</v>
      </c>
      <c r="O34" s="781">
        <f t="shared" si="119"/>
        <v>43298.5</v>
      </c>
      <c r="P34" s="710">
        <f t="shared" si="119"/>
        <v>42865.514999999999</v>
      </c>
      <c r="Q34" s="682">
        <f t="shared" si="84"/>
        <v>51438.618000000002</v>
      </c>
      <c r="R34" s="682">
        <f t="shared" si="85"/>
        <v>55725.169499999996</v>
      </c>
      <c r="S34" s="683">
        <f t="shared" si="86"/>
        <v>6429.8272499999994</v>
      </c>
      <c r="T34" s="683">
        <f t="shared" si="87"/>
        <v>12859.654499999999</v>
      </c>
      <c r="U34" s="682">
        <f t="shared" si="88"/>
        <v>68584.823999999993</v>
      </c>
      <c r="V34" s="683">
        <f t="shared" si="89"/>
        <v>4286.5515000000005</v>
      </c>
      <c r="W34" s="683">
        <f t="shared" si="90"/>
        <v>8573.103000000001</v>
      </c>
      <c r="X34" s="745">
        <f t="shared" si="91"/>
        <v>16717.55085</v>
      </c>
      <c r="Y34" s="745">
        <f t="shared" si="82"/>
        <v>4200.8204700000006</v>
      </c>
      <c r="Z34" s="685">
        <f>P34*108.8/100+P34</f>
        <v>89503.195319999999</v>
      </c>
      <c r="AA34" s="686">
        <f t="shared" si="92"/>
        <v>9845.3514852000008</v>
      </c>
      <c r="AB34" s="687">
        <f t="shared" si="93"/>
        <v>22375.79883</v>
      </c>
      <c r="AC34" s="688">
        <f t="shared" si="94"/>
        <v>111878.99415</v>
      </c>
      <c r="AD34" s="687">
        <f t="shared" si="95"/>
        <v>13425.479298</v>
      </c>
      <c r="AE34" s="687">
        <f t="shared" si="96"/>
        <v>24613.378712999998</v>
      </c>
      <c r="AF34" s="687">
        <f t="shared" si="97"/>
        <v>40276.437894000002</v>
      </c>
      <c r="AG34" s="687">
        <f t="shared" si="98"/>
        <v>60951.67601291999</v>
      </c>
      <c r="AH34" s="688">
        <f t="shared" si="99"/>
        <v>172830.67016292</v>
      </c>
      <c r="AI34" s="687">
        <f t="shared" si="100"/>
        <v>49226.757425999996</v>
      </c>
      <c r="AJ34" s="687">
        <f t="shared" si="101"/>
        <v>81805.920522479995</v>
      </c>
      <c r="AK34" s="687">
        <f t="shared" si="102"/>
        <v>92993.819937480002</v>
      </c>
      <c r="AL34" s="689">
        <f t="shared" si="103"/>
        <v>14052.001665240001</v>
      </c>
      <c r="AM34" s="769">
        <f t="shared" si="104"/>
        <v>22420.55042766</v>
      </c>
      <c r="AN34" s="772">
        <f t="shared" si="105"/>
        <v>319956.02262993599</v>
      </c>
      <c r="AO34" s="691">
        <f t="shared" si="106"/>
        <v>28156.129991434369</v>
      </c>
      <c r="AP34" s="752">
        <f t="shared" si="107"/>
        <v>348112.15262137039</v>
      </c>
      <c r="AQ34" s="753">
        <f t="shared" si="108"/>
        <v>14621.990234188077</v>
      </c>
      <c r="AR34" s="752">
        <f t="shared" si="109"/>
        <v>362734.14285555843</v>
      </c>
      <c r="AS34" s="753">
        <f t="shared" si="110"/>
        <v>31867.619853941625</v>
      </c>
      <c r="AT34" s="752">
        <f t="shared" si="111"/>
        <v>411175.48468173074</v>
      </c>
      <c r="AU34" s="843">
        <f t="shared" si="112"/>
        <v>12798.240905197439</v>
      </c>
      <c r="AV34" s="308"/>
      <c r="AW34" s="308"/>
      <c r="AX34" s="308"/>
      <c r="AY34" s="308"/>
    </row>
    <row r="35" spans="1:51" ht="15.75" thickBot="1" x14ac:dyDescent="0.3">
      <c r="B35" s="1345"/>
      <c r="C35" s="1348"/>
      <c r="D35" s="149" t="s">
        <v>237</v>
      </c>
      <c r="E35" s="152"/>
      <c r="F35" s="151"/>
      <c r="G35" s="151"/>
      <c r="H35" s="151"/>
      <c r="I35" s="773"/>
      <c r="J35" s="723"/>
      <c r="K35" s="782"/>
      <c r="L35" s="783"/>
      <c r="M35" s="784"/>
      <c r="N35" s="784"/>
      <c r="O35" s="785"/>
      <c r="P35" s="710"/>
      <c r="Q35" s="682">
        <f t="shared" si="84"/>
        <v>0</v>
      </c>
      <c r="R35" s="682">
        <f t="shared" si="85"/>
        <v>0</v>
      </c>
      <c r="S35" s="683">
        <f t="shared" si="86"/>
        <v>0</v>
      </c>
      <c r="T35" s="683">
        <f t="shared" si="87"/>
        <v>0</v>
      </c>
      <c r="U35" s="682">
        <f t="shared" si="88"/>
        <v>0</v>
      </c>
      <c r="V35" s="683">
        <f t="shared" si="89"/>
        <v>0</v>
      </c>
      <c r="W35" s="683">
        <f t="shared" si="90"/>
        <v>0</v>
      </c>
      <c r="X35" s="745">
        <f t="shared" si="91"/>
        <v>0</v>
      </c>
      <c r="Y35" s="745">
        <f t="shared" si="82"/>
        <v>0</v>
      </c>
      <c r="Z35" s="685">
        <f>(Z33+Z34)*15/100</f>
        <v>51783.991578000001</v>
      </c>
      <c r="AA35" s="686">
        <f t="shared" si="92"/>
        <v>5696.2390735800009</v>
      </c>
      <c r="AB35" s="687">
        <f t="shared" si="93"/>
        <v>12945.9978945</v>
      </c>
      <c r="AC35" s="688">
        <f t="shared" si="94"/>
        <v>64729.989472500005</v>
      </c>
      <c r="AD35" s="687">
        <f t="shared" si="95"/>
        <v>7767.5987366999998</v>
      </c>
      <c r="AE35" s="687">
        <f t="shared" si="96"/>
        <v>14240.597683950002</v>
      </c>
      <c r="AF35" s="687">
        <f t="shared" si="97"/>
        <v>23302.796210099998</v>
      </c>
      <c r="AG35" s="687">
        <f t="shared" si="98"/>
        <v>35264.898264618001</v>
      </c>
      <c r="AH35" s="688">
        <f t="shared" si="99"/>
        <v>99994.887737117999</v>
      </c>
      <c r="AI35" s="687">
        <f t="shared" si="100"/>
        <v>28481.195367900003</v>
      </c>
      <c r="AJ35" s="687">
        <f t="shared" si="101"/>
        <v>47330.568302292006</v>
      </c>
      <c r="AK35" s="687">
        <f t="shared" si="102"/>
        <v>53803.567249542</v>
      </c>
      <c r="AL35" s="689">
        <f t="shared" si="103"/>
        <v>8130.0866777459996</v>
      </c>
      <c r="AM35" s="769">
        <f t="shared" si="104"/>
        <v>12971.889890289001</v>
      </c>
      <c r="AN35" s="772">
        <f t="shared" si="105"/>
        <v>185117.41309303441</v>
      </c>
      <c r="AO35" s="691">
        <f t="shared" si="106"/>
        <v>16290.33235218703</v>
      </c>
      <c r="AP35" s="752">
        <f t="shared" si="107"/>
        <v>201407.74544522143</v>
      </c>
      <c r="AQ35" s="753">
        <f t="shared" si="108"/>
        <v>8459.8657783516737</v>
      </c>
      <c r="AR35" s="752">
        <f t="shared" si="109"/>
        <v>209867.6112235731</v>
      </c>
      <c r="AS35" s="753">
        <f t="shared" si="110"/>
        <v>18437.694344066229</v>
      </c>
      <c r="AT35" s="752">
        <f t="shared" si="111"/>
        <v>237894.38756585852</v>
      </c>
      <c r="AU35" s="843">
        <f t="shared" si="112"/>
        <v>7404.6965237213763</v>
      </c>
      <c r="AV35" s="308"/>
      <c r="AW35" s="308"/>
      <c r="AX35" s="308"/>
      <c r="AY35" s="308"/>
    </row>
    <row r="36" spans="1:51" ht="29.25" thickBot="1" x14ac:dyDescent="0.3">
      <c r="B36" s="1346"/>
      <c r="C36" s="1349"/>
      <c r="D36" s="43" t="s">
        <v>77</v>
      </c>
      <c r="E36" s="47"/>
      <c r="F36" s="14"/>
      <c r="G36" s="14"/>
      <c r="H36" s="14"/>
      <c r="I36" s="695"/>
      <c r="J36" s="696">
        <f t="shared" ref="J36:P36" si="120">(J33+(J34))*1/100</f>
        <v>1109.1248999999998</v>
      </c>
      <c r="K36" s="719">
        <f t="shared" si="120"/>
        <v>1237.10085</v>
      </c>
      <c r="L36" s="720">
        <f t="shared" si="120"/>
        <v>1422.6659775000001</v>
      </c>
      <c r="M36" s="721">
        <f t="shared" si="120"/>
        <v>1546.3760625000002</v>
      </c>
      <c r="N36" s="721">
        <f t="shared" si="120"/>
        <v>1670.0861475000002</v>
      </c>
      <c r="O36" s="722">
        <f t="shared" si="120"/>
        <v>1670.085</v>
      </c>
      <c r="P36" s="723">
        <f t="shared" si="120"/>
        <v>1653.3841499999999</v>
      </c>
      <c r="Q36" s="682">
        <f t="shared" si="84"/>
        <v>1984.0609799999997</v>
      </c>
      <c r="R36" s="682">
        <f t="shared" si="85"/>
        <v>2149.3993949999999</v>
      </c>
      <c r="S36" s="683">
        <f t="shared" si="86"/>
        <v>248.0076225</v>
      </c>
      <c r="T36" s="683">
        <f t="shared" si="87"/>
        <v>496.01524499999999</v>
      </c>
      <c r="U36" s="682">
        <f t="shared" si="88"/>
        <v>2645.41464</v>
      </c>
      <c r="V36" s="683">
        <f t="shared" si="89"/>
        <v>165.338415</v>
      </c>
      <c r="W36" s="683">
        <f t="shared" si="90"/>
        <v>330.67683</v>
      </c>
      <c r="X36" s="745">
        <f t="shared" si="91"/>
        <v>644.8198185</v>
      </c>
      <c r="Y36" s="745">
        <f t="shared" si="82"/>
        <v>162.03164670000001</v>
      </c>
      <c r="Z36" s="685">
        <f>P36*108.8/100+P36</f>
        <v>3452.2661051999994</v>
      </c>
      <c r="AA36" s="686">
        <f t="shared" si="92"/>
        <v>379.74927157199994</v>
      </c>
      <c r="AB36" s="687">
        <f t="shared" si="93"/>
        <v>863.06652629999985</v>
      </c>
      <c r="AC36" s="688">
        <f t="shared" si="94"/>
        <v>4315.3326314999995</v>
      </c>
      <c r="AD36" s="687">
        <f t="shared" si="95"/>
        <v>517.83991577999996</v>
      </c>
      <c r="AE36" s="687">
        <f t="shared" si="96"/>
        <v>949.37317892999988</v>
      </c>
      <c r="AF36" s="687">
        <f t="shared" si="97"/>
        <v>1553.5197473399996</v>
      </c>
      <c r="AG36" s="687">
        <f t="shared" si="98"/>
        <v>2350.9932176411994</v>
      </c>
      <c r="AH36" s="688">
        <f t="shared" si="99"/>
        <v>6666.3258491411989</v>
      </c>
      <c r="AI36" s="687">
        <f t="shared" si="100"/>
        <v>1898.7463578599998</v>
      </c>
      <c r="AJ36" s="687">
        <f t="shared" si="101"/>
        <v>3155.3712201527997</v>
      </c>
      <c r="AK36" s="687">
        <f t="shared" si="102"/>
        <v>3586.9044833027997</v>
      </c>
      <c r="AL36" s="689">
        <f t="shared" si="103"/>
        <v>542.00577851639991</v>
      </c>
      <c r="AM36" s="769">
        <f t="shared" si="104"/>
        <v>864.79265935259991</v>
      </c>
      <c r="AN36" s="772">
        <f t="shared" si="105"/>
        <v>12341.160872868957</v>
      </c>
      <c r="AO36" s="691">
        <f t="shared" si="106"/>
        <v>1086.0221568124682</v>
      </c>
      <c r="AP36" s="752">
        <f t="shared" si="107"/>
        <v>13427.183029681426</v>
      </c>
      <c r="AQ36" s="753">
        <f t="shared" si="108"/>
        <v>563.99105189011129</v>
      </c>
      <c r="AR36" s="752">
        <f t="shared" si="109"/>
        <v>13991.174081571537</v>
      </c>
      <c r="AS36" s="753">
        <f t="shared" si="110"/>
        <v>1229.1796229377483</v>
      </c>
      <c r="AT36" s="752">
        <f t="shared" si="111"/>
        <v>15859.625837723897</v>
      </c>
      <c r="AU36" s="843">
        <f t="shared" si="112"/>
        <v>493.64643491475829</v>
      </c>
      <c r="AV36" s="308"/>
      <c r="AW36" s="308"/>
      <c r="AX36" s="308"/>
      <c r="AY36" s="308"/>
    </row>
    <row r="37" spans="1:51" ht="15.75" thickBot="1" x14ac:dyDescent="0.3">
      <c r="B37" s="1344">
        <v>7</v>
      </c>
      <c r="C37" s="1347" t="s">
        <v>47</v>
      </c>
      <c r="D37" s="44" t="s">
        <v>172</v>
      </c>
      <c r="E37" s="52" t="s">
        <v>185</v>
      </c>
      <c r="F37" s="15" t="s">
        <v>186</v>
      </c>
      <c r="G37" s="15" t="s">
        <v>187</v>
      </c>
      <c r="H37" s="15" t="s">
        <v>188</v>
      </c>
      <c r="I37" s="786">
        <v>73035</v>
      </c>
      <c r="J37" s="676">
        <f t="shared" ref="J37" si="121">I37*30/100+I37</f>
        <v>94945.5</v>
      </c>
      <c r="K37" s="677">
        <f t="shared" ref="K37" si="122">I37*45/100+I37</f>
        <v>105900.75</v>
      </c>
      <c r="L37" s="706">
        <f t="shared" ref="L37" si="123">K37*15/100+K37</f>
        <v>121785.8625</v>
      </c>
      <c r="M37" s="707">
        <f t="shared" ref="M37" si="124">K37*25/100+K37</f>
        <v>132375.9375</v>
      </c>
      <c r="N37" s="707">
        <f t="shared" ref="N37" si="125">K37*35/100+K37</f>
        <v>142966.01250000001</v>
      </c>
      <c r="O37" s="130">
        <v>142963</v>
      </c>
      <c r="P37" s="743">
        <f>O37-O37*1/100</f>
        <v>141533.37</v>
      </c>
      <c r="Q37" s="682">
        <f t="shared" si="84"/>
        <v>169840.04399999999</v>
      </c>
      <c r="R37" s="682">
        <f t="shared" si="85"/>
        <v>183993.38099999999</v>
      </c>
      <c r="S37" s="683">
        <f t="shared" si="86"/>
        <v>21230.005499999999</v>
      </c>
      <c r="T37" s="683">
        <f t="shared" si="87"/>
        <v>42460.010999999999</v>
      </c>
      <c r="U37" s="682">
        <f t="shared" si="88"/>
        <v>226453.39199999999</v>
      </c>
      <c r="V37" s="683">
        <f t="shared" si="89"/>
        <v>14153.337</v>
      </c>
      <c r="W37" s="683">
        <f t="shared" si="90"/>
        <v>28306.673999999999</v>
      </c>
      <c r="X37" s="745">
        <f t="shared" si="91"/>
        <v>55198.014299999995</v>
      </c>
      <c r="Y37" s="745">
        <f t="shared" si="82"/>
        <v>13870.270260000001</v>
      </c>
      <c r="Z37" s="685">
        <f>P37*108.8/100+P37</f>
        <v>295521.67655999999</v>
      </c>
      <c r="AA37" s="686">
        <f t="shared" si="92"/>
        <v>32507.3844216</v>
      </c>
      <c r="AB37" s="687">
        <f t="shared" si="93"/>
        <v>73880.419139999998</v>
      </c>
      <c r="AC37" s="688">
        <f t="shared" si="94"/>
        <v>369402.09570000001</v>
      </c>
      <c r="AD37" s="687">
        <f t="shared" si="95"/>
        <v>44328.251484</v>
      </c>
      <c r="AE37" s="687">
        <f t="shared" si="96"/>
        <v>81268.461053999999</v>
      </c>
      <c r="AF37" s="687">
        <f t="shared" si="97"/>
        <v>132984.75445199999</v>
      </c>
      <c r="AG37" s="687">
        <f t="shared" si="98"/>
        <v>201250.26173735998</v>
      </c>
      <c r="AH37" s="688">
        <f t="shared" si="99"/>
        <v>570652.35743735998</v>
      </c>
      <c r="AI37" s="687">
        <f t="shared" si="100"/>
        <v>162536.922108</v>
      </c>
      <c r="AJ37" s="687">
        <f t="shared" si="101"/>
        <v>270106.81237584003</v>
      </c>
      <c r="AK37" s="687">
        <f t="shared" si="102"/>
        <v>307047.02194583998</v>
      </c>
      <c r="AL37" s="689">
        <f t="shared" si="103"/>
        <v>46396.903219919994</v>
      </c>
      <c r="AM37" s="769">
        <f t="shared" si="104"/>
        <v>74028.179978280008</v>
      </c>
      <c r="AN37" s="772">
        <f t="shared" si="105"/>
        <v>1056430.8893666882</v>
      </c>
      <c r="AO37" s="691">
        <f t="shared" si="106"/>
        <v>92965.918264268563</v>
      </c>
      <c r="AP37" s="752">
        <f t="shared" si="107"/>
        <v>1149396.8076309569</v>
      </c>
      <c r="AQ37" s="753">
        <f t="shared" si="108"/>
        <v>48278.89164405765</v>
      </c>
      <c r="AR37" s="752">
        <f t="shared" si="109"/>
        <v>1197675.6992750145</v>
      </c>
      <c r="AS37" s="753">
        <f t="shared" si="110"/>
        <v>105220.51658092215</v>
      </c>
      <c r="AT37" s="752">
        <f t="shared" si="111"/>
        <v>1357619.3359251311</v>
      </c>
      <c r="AU37" s="843">
        <f t="shared" si="112"/>
        <v>42257.235574667531</v>
      </c>
      <c r="AV37" s="308"/>
      <c r="AW37" s="308"/>
      <c r="AX37" s="308"/>
      <c r="AY37" s="308"/>
    </row>
    <row r="38" spans="1:51" ht="15.75" thickBot="1" x14ac:dyDescent="0.3">
      <c r="B38" s="1345"/>
      <c r="C38" s="1348"/>
      <c r="D38" s="45" t="s">
        <v>182</v>
      </c>
      <c r="E38" s="48">
        <f>(55139*35)/100</f>
        <v>19298.650000000001</v>
      </c>
      <c r="F38" s="49">
        <f>(59651*35)/100</f>
        <v>20877.849999999999</v>
      </c>
      <c r="G38" s="49">
        <f>(61756*35)/100</f>
        <v>21614.6</v>
      </c>
      <c r="H38" s="49">
        <f>(66267*35)/100</f>
        <v>23193.45</v>
      </c>
      <c r="I38" s="709">
        <f>(73035*35)/100</f>
        <v>25562.25</v>
      </c>
      <c r="J38" s="710">
        <f>(J37*35)/100</f>
        <v>33230.925000000003</v>
      </c>
      <c r="K38" s="778">
        <f t="shared" ref="K38:O38" si="126">(K37*35)/100</f>
        <v>37065.262499999997</v>
      </c>
      <c r="L38" s="779">
        <f t="shared" si="126"/>
        <v>42625.051874999997</v>
      </c>
      <c r="M38" s="780">
        <f t="shared" si="126"/>
        <v>46331.578125</v>
      </c>
      <c r="N38" s="780">
        <f t="shared" si="126"/>
        <v>50038.104375000003</v>
      </c>
      <c r="O38" s="781">
        <f t="shared" si="126"/>
        <v>50037.05</v>
      </c>
      <c r="P38" s="715">
        <f>P37*35/100</f>
        <v>49536.679499999998</v>
      </c>
      <c r="Q38" s="682">
        <f t="shared" si="84"/>
        <v>59444.015399999997</v>
      </c>
      <c r="R38" s="682">
        <f t="shared" si="85"/>
        <v>64397.683349999999</v>
      </c>
      <c r="S38" s="683">
        <f t="shared" si="86"/>
        <v>7430.5019250000005</v>
      </c>
      <c r="T38" s="683">
        <f t="shared" si="87"/>
        <v>14861.003850000001</v>
      </c>
      <c r="U38" s="682">
        <f t="shared" si="88"/>
        <v>79258.6872</v>
      </c>
      <c r="V38" s="683">
        <f t="shared" si="89"/>
        <v>4953.66795</v>
      </c>
      <c r="W38" s="683">
        <f t="shared" si="90"/>
        <v>9907.3359</v>
      </c>
      <c r="X38" s="745">
        <f t="shared" si="91"/>
        <v>19319.305004999998</v>
      </c>
      <c r="Y38" s="745">
        <f t="shared" si="82"/>
        <v>4854.594591</v>
      </c>
      <c r="Z38" s="685">
        <f>P38*108.8/100+P38</f>
        <v>103432.58679599999</v>
      </c>
      <c r="AA38" s="686">
        <f t="shared" si="92"/>
        <v>11377.584547559998</v>
      </c>
      <c r="AB38" s="687">
        <f t="shared" si="93"/>
        <v>25858.146698999997</v>
      </c>
      <c r="AC38" s="688">
        <f t="shared" si="94"/>
        <v>129290.73349499999</v>
      </c>
      <c r="AD38" s="687">
        <f t="shared" si="95"/>
        <v>15514.888019399999</v>
      </c>
      <c r="AE38" s="687">
        <f t="shared" si="96"/>
        <v>28443.961368899996</v>
      </c>
      <c r="AF38" s="687">
        <f t="shared" si="97"/>
        <v>46544.664058199989</v>
      </c>
      <c r="AG38" s="687">
        <f t="shared" si="98"/>
        <v>70437.591608075978</v>
      </c>
      <c r="AH38" s="688">
        <f t="shared" si="99"/>
        <v>199728.32510307597</v>
      </c>
      <c r="AI38" s="687">
        <f t="shared" si="100"/>
        <v>56887.922737799992</v>
      </c>
      <c r="AJ38" s="687">
        <f t="shared" si="101"/>
        <v>94537.384331544003</v>
      </c>
      <c r="AK38" s="687">
        <f t="shared" si="102"/>
        <v>107466.45768104399</v>
      </c>
      <c r="AL38" s="689">
        <f t="shared" si="103"/>
        <v>16238.916126971997</v>
      </c>
      <c r="AM38" s="769">
        <f t="shared" si="104"/>
        <v>25909.862992397997</v>
      </c>
      <c r="AN38" s="772">
        <f t="shared" si="105"/>
        <v>369750.81127834076</v>
      </c>
      <c r="AO38" s="691">
        <f t="shared" si="106"/>
        <v>32538.071392493988</v>
      </c>
      <c r="AP38" s="752">
        <f t="shared" si="107"/>
        <v>402288.88267083472</v>
      </c>
      <c r="AQ38" s="753">
        <f t="shared" si="108"/>
        <v>16897.612075420173</v>
      </c>
      <c r="AR38" s="752">
        <f t="shared" si="109"/>
        <v>419186.49474625493</v>
      </c>
      <c r="AS38" s="753">
        <f t="shared" si="110"/>
        <v>36827.180803322743</v>
      </c>
      <c r="AT38" s="752">
        <f t="shared" si="111"/>
        <v>475166.76757379569</v>
      </c>
      <c r="AU38" s="843">
        <f t="shared" si="112"/>
        <v>14790.032451133629</v>
      </c>
      <c r="AV38" s="308"/>
      <c r="AW38" s="308"/>
      <c r="AX38" s="308"/>
      <c r="AY38" s="308"/>
    </row>
    <row r="39" spans="1:51" ht="15.75" thickBot="1" x14ac:dyDescent="0.3">
      <c r="B39" s="1345"/>
      <c r="C39" s="1348"/>
      <c r="D39" s="149" t="s">
        <v>237</v>
      </c>
      <c r="E39" s="152"/>
      <c r="F39" s="151"/>
      <c r="G39" s="151"/>
      <c r="H39" s="151"/>
      <c r="I39" s="773"/>
      <c r="J39" s="723"/>
      <c r="K39" s="782"/>
      <c r="L39" s="783"/>
      <c r="M39" s="784"/>
      <c r="N39" s="784"/>
      <c r="O39" s="785"/>
      <c r="P39" s="715"/>
      <c r="Q39" s="682">
        <f t="shared" si="84"/>
        <v>0</v>
      </c>
      <c r="R39" s="682">
        <f t="shared" si="85"/>
        <v>0</v>
      </c>
      <c r="S39" s="683">
        <f t="shared" si="86"/>
        <v>0</v>
      </c>
      <c r="T39" s="683">
        <f t="shared" si="87"/>
        <v>0</v>
      </c>
      <c r="U39" s="682">
        <f t="shared" si="88"/>
        <v>0</v>
      </c>
      <c r="V39" s="683">
        <f t="shared" si="89"/>
        <v>0</v>
      </c>
      <c r="W39" s="683">
        <f t="shared" si="90"/>
        <v>0</v>
      </c>
      <c r="X39" s="745">
        <f t="shared" si="91"/>
        <v>0</v>
      </c>
      <c r="Y39" s="745">
        <f t="shared" si="82"/>
        <v>0</v>
      </c>
      <c r="Z39" s="685">
        <f>(Z37+Z38)*15/100</f>
        <v>59843.139503399987</v>
      </c>
      <c r="AA39" s="686">
        <f t="shared" si="92"/>
        <v>6582.745345373999</v>
      </c>
      <c r="AB39" s="687">
        <f t="shared" si="93"/>
        <v>14960.784875849997</v>
      </c>
      <c r="AC39" s="688">
        <f t="shared" si="94"/>
        <v>74803.924379249976</v>
      </c>
      <c r="AD39" s="687">
        <f t="shared" si="95"/>
        <v>8976.4709255099988</v>
      </c>
      <c r="AE39" s="687">
        <f t="shared" si="96"/>
        <v>16456.863363434997</v>
      </c>
      <c r="AF39" s="687">
        <f t="shared" si="97"/>
        <v>26929.412776529993</v>
      </c>
      <c r="AG39" s="687">
        <f t="shared" si="98"/>
        <v>40753.178001815388</v>
      </c>
      <c r="AH39" s="688">
        <f t="shared" si="99"/>
        <v>115557.10238106537</v>
      </c>
      <c r="AI39" s="687">
        <f t="shared" si="100"/>
        <v>32913.726726869994</v>
      </c>
      <c r="AJ39" s="687">
        <f t="shared" si="101"/>
        <v>54696.629506107587</v>
      </c>
      <c r="AK39" s="687">
        <f t="shared" si="102"/>
        <v>62177.021944032589</v>
      </c>
      <c r="AL39" s="689">
        <f t="shared" si="103"/>
        <v>9395.3729020337978</v>
      </c>
      <c r="AM39" s="769">
        <f t="shared" si="104"/>
        <v>14990.706445601696</v>
      </c>
      <c r="AN39" s="772">
        <f t="shared" si="105"/>
        <v>213927.25509675429</v>
      </c>
      <c r="AO39" s="691">
        <f t="shared" si="106"/>
        <v>18825.598448514378</v>
      </c>
      <c r="AP39" s="752">
        <f t="shared" si="107"/>
        <v>232752.85354526868</v>
      </c>
      <c r="AQ39" s="753">
        <f t="shared" si="108"/>
        <v>9776.4755579216726</v>
      </c>
      <c r="AR39" s="752">
        <f t="shared" si="109"/>
        <v>242529.32910319034</v>
      </c>
      <c r="AS39" s="753">
        <f t="shared" si="110"/>
        <v>21307.154607636727</v>
      </c>
      <c r="AT39" s="752">
        <f t="shared" si="111"/>
        <v>274917.91552483896</v>
      </c>
      <c r="AU39" s="843">
        <f t="shared" si="112"/>
        <v>8557.0902038701715</v>
      </c>
      <c r="AV39" s="308"/>
      <c r="AW39" s="308"/>
      <c r="AX39" s="308"/>
      <c r="AY39" s="308"/>
    </row>
    <row r="40" spans="1:51" ht="29.25" thickBot="1" x14ac:dyDescent="0.3">
      <c r="B40" s="1346"/>
      <c r="C40" s="1349"/>
      <c r="D40" s="43" t="s">
        <v>77</v>
      </c>
      <c r="E40" s="47"/>
      <c r="F40" s="14"/>
      <c r="G40" s="14"/>
      <c r="H40" s="14"/>
      <c r="I40" s="695"/>
      <c r="J40" s="696">
        <f>(J37+(J38))*1/100</f>
        <v>1281.7642499999999</v>
      </c>
      <c r="K40" s="719">
        <f t="shared" ref="K40:P40" si="127">(K37+(K38))*1/100</f>
        <v>1429.6601250000001</v>
      </c>
      <c r="L40" s="720">
        <f t="shared" si="127"/>
        <v>1644.1091437499999</v>
      </c>
      <c r="M40" s="721">
        <f t="shared" si="127"/>
        <v>1787.07515625</v>
      </c>
      <c r="N40" s="721">
        <f t="shared" si="127"/>
        <v>1930.04116875</v>
      </c>
      <c r="O40" s="722">
        <f t="shared" si="127"/>
        <v>1930.0004999999999</v>
      </c>
      <c r="P40" s="723">
        <f t="shared" si="127"/>
        <v>1910.700495</v>
      </c>
      <c r="Q40" s="682">
        <f t="shared" si="84"/>
        <v>2292.8405940000002</v>
      </c>
      <c r="R40" s="682">
        <f t="shared" si="85"/>
        <v>2483.9106434999999</v>
      </c>
      <c r="S40" s="683">
        <f t="shared" si="86"/>
        <v>286.60507424999997</v>
      </c>
      <c r="T40" s="683">
        <f t="shared" si="87"/>
        <v>573.21014849999995</v>
      </c>
      <c r="U40" s="682">
        <f t="shared" si="88"/>
        <v>3057.1207919999997</v>
      </c>
      <c r="V40" s="683">
        <f t="shared" si="89"/>
        <v>191.07004950000001</v>
      </c>
      <c r="W40" s="683">
        <f t="shared" si="90"/>
        <v>382.14009900000002</v>
      </c>
      <c r="X40" s="745">
        <f t="shared" si="91"/>
        <v>745.17319305000001</v>
      </c>
      <c r="Y40" s="745">
        <f t="shared" si="82"/>
        <v>187.24864851000001</v>
      </c>
      <c r="Z40" s="685">
        <f>P40*108.8/100+P40</f>
        <v>3989.54263356</v>
      </c>
      <c r="AA40" s="686">
        <f t="shared" si="92"/>
        <v>438.84968969160002</v>
      </c>
      <c r="AB40" s="687">
        <f t="shared" si="93"/>
        <v>997.38565839</v>
      </c>
      <c r="AC40" s="688">
        <f t="shared" si="94"/>
        <v>4986.9282919500001</v>
      </c>
      <c r="AD40" s="687">
        <f t="shared" si="95"/>
        <v>598.43139503400005</v>
      </c>
      <c r="AE40" s="687">
        <f t="shared" si="96"/>
        <v>1097.124224229</v>
      </c>
      <c r="AF40" s="687">
        <f t="shared" si="97"/>
        <v>1795.2941851019998</v>
      </c>
      <c r="AG40" s="687">
        <f t="shared" si="98"/>
        <v>2716.87853345436</v>
      </c>
      <c r="AH40" s="688">
        <f t="shared" si="99"/>
        <v>7703.8068254043592</v>
      </c>
      <c r="AI40" s="687">
        <f t="shared" si="100"/>
        <v>2194.248448458</v>
      </c>
      <c r="AJ40" s="687">
        <f t="shared" si="101"/>
        <v>3646.4419670738403</v>
      </c>
      <c r="AK40" s="687">
        <f t="shared" si="102"/>
        <v>4145.1347962688405</v>
      </c>
      <c r="AL40" s="689">
        <f t="shared" si="103"/>
        <v>626.35819346892004</v>
      </c>
      <c r="AM40" s="769">
        <f t="shared" si="104"/>
        <v>999.38042970677998</v>
      </c>
      <c r="AN40" s="772">
        <f t="shared" si="105"/>
        <v>14261.81700645029</v>
      </c>
      <c r="AO40" s="691">
        <f t="shared" si="106"/>
        <v>1255.0398965676256</v>
      </c>
      <c r="AP40" s="752">
        <f t="shared" si="107"/>
        <v>15516.856903017915</v>
      </c>
      <c r="AQ40" s="753">
        <f t="shared" si="108"/>
        <v>651.7650371947783</v>
      </c>
      <c r="AR40" s="752">
        <f t="shared" si="109"/>
        <v>16168.621940212694</v>
      </c>
      <c r="AS40" s="753">
        <f t="shared" si="110"/>
        <v>1420.4769738424491</v>
      </c>
      <c r="AT40" s="752">
        <f t="shared" si="111"/>
        <v>18327.86103498927</v>
      </c>
      <c r="AU40" s="843">
        <f t="shared" si="112"/>
        <v>570.47268025801156</v>
      </c>
      <c r="AV40" s="308"/>
      <c r="AW40" s="308"/>
      <c r="AX40" s="308"/>
      <c r="AY40" s="308"/>
    </row>
    <row r="41" spans="1:51" ht="15.75" thickBot="1" x14ac:dyDescent="0.3">
      <c r="B41" s="1344">
        <v>9</v>
      </c>
      <c r="C41" s="1347" t="s">
        <v>48</v>
      </c>
      <c r="D41" s="44" t="s">
        <v>172</v>
      </c>
      <c r="E41" s="46" t="s">
        <v>189</v>
      </c>
      <c r="F41" s="13" t="s">
        <v>190</v>
      </c>
      <c r="G41" s="13" t="s">
        <v>191</v>
      </c>
      <c r="H41" s="13" t="s">
        <v>192</v>
      </c>
      <c r="I41" s="787">
        <v>84400</v>
      </c>
      <c r="J41" s="676">
        <f t="shared" ref="J41" si="128">I41*30/100+I41</f>
        <v>109720</v>
      </c>
      <c r="K41" s="677">
        <f t="shared" ref="K41" si="129">I41*45/100+I41</f>
        <v>122380</v>
      </c>
      <c r="L41" s="706">
        <f t="shared" ref="L41" si="130">K41*15/100+K41</f>
        <v>140737</v>
      </c>
      <c r="M41" s="707">
        <f t="shared" ref="M41" si="131">K41*25/100+K41</f>
        <v>152975</v>
      </c>
      <c r="N41" s="707">
        <f t="shared" ref="N41" si="132">K41*35/100+K41</f>
        <v>165213</v>
      </c>
      <c r="O41" s="130">
        <v>165213</v>
      </c>
      <c r="P41" s="743">
        <f>O41-O41*1/100</f>
        <v>163560.87</v>
      </c>
      <c r="Q41" s="682">
        <f t="shared" si="84"/>
        <v>196273.04399999999</v>
      </c>
      <c r="R41" s="682">
        <f t="shared" si="85"/>
        <v>212629.13099999999</v>
      </c>
      <c r="S41" s="683">
        <f t="shared" si="86"/>
        <v>24534.130499999999</v>
      </c>
      <c r="T41" s="683">
        <f t="shared" si="87"/>
        <v>49068.260999999999</v>
      </c>
      <c r="U41" s="682">
        <f t="shared" si="88"/>
        <v>261697.39199999999</v>
      </c>
      <c r="V41" s="683">
        <f t="shared" si="89"/>
        <v>16356.087</v>
      </c>
      <c r="W41" s="683">
        <f t="shared" si="90"/>
        <v>32712.173999999999</v>
      </c>
      <c r="X41" s="745">
        <f t="shared" si="91"/>
        <v>63788.739299999994</v>
      </c>
      <c r="Y41" s="745">
        <f t="shared" si="82"/>
        <v>16028.965260000001</v>
      </c>
      <c r="Z41" s="685">
        <f>P41*108.8/100+P41</f>
        <v>341515.09655999998</v>
      </c>
      <c r="AA41" s="686">
        <f t="shared" si="92"/>
        <v>37566.6606216</v>
      </c>
      <c r="AB41" s="687">
        <f t="shared" si="93"/>
        <v>85378.774139999994</v>
      </c>
      <c r="AC41" s="688">
        <f t="shared" si="94"/>
        <v>426893.87069999997</v>
      </c>
      <c r="AD41" s="687">
        <f t="shared" si="95"/>
        <v>51227.264483999999</v>
      </c>
      <c r="AE41" s="687">
        <f t="shared" si="96"/>
        <v>93916.651553999982</v>
      </c>
      <c r="AF41" s="687">
        <f t="shared" si="97"/>
        <v>153681.79345199998</v>
      </c>
      <c r="AG41" s="687">
        <f t="shared" si="98"/>
        <v>232571.78075735999</v>
      </c>
      <c r="AH41" s="688">
        <f t="shared" si="99"/>
        <v>659465.6514573599</v>
      </c>
      <c r="AI41" s="687">
        <f t="shared" si="100"/>
        <v>187833.30310799996</v>
      </c>
      <c r="AJ41" s="687">
        <f t="shared" si="101"/>
        <v>312144.79825583997</v>
      </c>
      <c r="AK41" s="687">
        <f t="shared" si="102"/>
        <v>354834.18532583996</v>
      </c>
      <c r="AL41" s="689">
        <f t="shared" si="103"/>
        <v>53617.870159919999</v>
      </c>
      <c r="AM41" s="769">
        <f t="shared" si="104"/>
        <v>85549.531688279996</v>
      </c>
      <c r="AN41" s="772">
        <f t="shared" si="105"/>
        <v>1220848.1671826879</v>
      </c>
      <c r="AO41" s="691">
        <f t="shared" si="106"/>
        <v>107434.63871207654</v>
      </c>
      <c r="AP41" s="752">
        <f t="shared" si="107"/>
        <v>1328282.8058947644</v>
      </c>
      <c r="AQ41" s="753">
        <f t="shared" si="108"/>
        <v>55792.761240248838</v>
      </c>
      <c r="AR41" s="752">
        <f t="shared" si="109"/>
        <v>1384075.5671350132</v>
      </c>
      <c r="AS41" s="753">
        <f t="shared" si="110"/>
        <v>121596.47745139572</v>
      </c>
      <c r="AT41" s="752">
        <f t="shared" si="111"/>
        <v>1568911.9796464723</v>
      </c>
      <c r="AU41" s="843">
        <f t="shared" si="112"/>
        <v>48833.926687307518</v>
      </c>
      <c r="AV41" s="308"/>
      <c r="AW41" s="308"/>
      <c r="AX41" s="308"/>
      <c r="AY41" s="308"/>
    </row>
    <row r="42" spans="1:51" ht="15.75" thickBot="1" x14ac:dyDescent="0.3">
      <c r="B42" s="1345"/>
      <c r="C42" s="1348"/>
      <c r="D42" s="45" t="s">
        <v>182</v>
      </c>
      <c r="E42" s="48">
        <f>(63720*35)/100</f>
        <v>22302</v>
      </c>
      <c r="F42" s="49">
        <f>(68933*35)/100</f>
        <v>24126.55</v>
      </c>
      <c r="G42" s="49">
        <f>(71366*35)/100</f>
        <v>24978.1</v>
      </c>
      <c r="H42" s="49">
        <f>(76579*35)/100</f>
        <v>26802.65</v>
      </c>
      <c r="I42" s="709">
        <f>(84400*35)/100</f>
        <v>29540</v>
      </c>
      <c r="J42" s="710">
        <f>(J41*35)/100</f>
        <v>38402</v>
      </c>
      <c r="K42" s="778">
        <f t="shared" ref="K42:P42" si="133">(K41*35)/100</f>
        <v>42833</v>
      </c>
      <c r="L42" s="779">
        <f t="shared" si="133"/>
        <v>49257.95</v>
      </c>
      <c r="M42" s="780">
        <f t="shared" si="133"/>
        <v>53541.25</v>
      </c>
      <c r="N42" s="780">
        <f t="shared" si="133"/>
        <v>57824.55</v>
      </c>
      <c r="O42" s="781">
        <f t="shared" si="133"/>
        <v>57824.55</v>
      </c>
      <c r="P42" s="710">
        <f t="shared" si="133"/>
        <v>57246.304499999998</v>
      </c>
      <c r="Q42" s="682">
        <f t="shared" si="84"/>
        <v>68695.565399999992</v>
      </c>
      <c r="R42" s="682">
        <f t="shared" si="85"/>
        <v>74420.195850000004</v>
      </c>
      <c r="S42" s="683">
        <f t="shared" si="86"/>
        <v>8586.9456750000008</v>
      </c>
      <c r="T42" s="683">
        <f t="shared" si="87"/>
        <v>17173.891350000002</v>
      </c>
      <c r="U42" s="682">
        <f t="shared" si="88"/>
        <v>91594.087200000009</v>
      </c>
      <c r="V42" s="683">
        <f t="shared" si="89"/>
        <v>5724.6304499999997</v>
      </c>
      <c r="W42" s="683">
        <f t="shared" si="90"/>
        <v>11449.260899999999</v>
      </c>
      <c r="X42" s="745">
        <f t="shared" si="91"/>
        <v>22326.058755000002</v>
      </c>
      <c r="Y42" s="745">
        <f t="shared" si="82"/>
        <v>5610.1378410000007</v>
      </c>
      <c r="Z42" s="685">
        <f>P42*108.8/100+P42</f>
        <v>119530.283796</v>
      </c>
      <c r="AA42" s="686">
        <f t="shared" si="92"/>
        <v>13148.33121756</v>
      </c>
      <c r="AB42" s="687">
        <f t="shared" si="93"/>
        <v>29882.570949000001</v>
      </c>
      <c r="AC42" s="688">
        <f t="shared" si="94"/>
        <v>149412.85474500002</v>
      </c>
      <c r="AD42" s="687">
        <f t="shared" si="95"/>
        <v>17929.542569400001</v>
      </c>
      <c r="AE42" s="687">
        <f t="shared" si="96"/>
        <v>32870.828043900001</v>
      </c>
      <c r="AF42" s="687">
        <f t="shared" si="97"/>
        <v>53788.627708200002</v>
      </c>
      <c r="AG42" s="687">
        <f t="shared" si="98"/>
        <v>81400.123265075992</v>
      </c>
      <c r="AH42" s="688">
        <f t="shared" si="99"/>
        <v>230812.97801007598</v>
      </c>
      <c r="AI42" s="687">
        <f t="shared" si="100"/>
        <v>65741.656087800002</v>
      </c>
      <c r="AJ42" s="687">
        <f t="shared" si="101"/>
        <v>109250.67938954402</v>
      </c>
      <c r="AK42" s="687">
        <f t="shared" si="102"/>
        <v>124191.964864044</v>
      </c>
      <c r="AL42" s="689">
        <f t="shared" si="103"/>
        <v>18766.254555971998</v>
      </c>
      <c r="AM42" s="769">
        <f t="shared" si="104"/>
        <v>29942.336090898003</v>
      </c>
      <c r="AN42" s="772">
        <f t="shared" si="105"/>
        <v>427296.85851394082</v>
      </c>
      <c r="AO42" s="691">
        <f t="shared" si="106"/>
        <v>37602.123549226795</v>
      </c>
      <c r="AP42" s="752">
        <f t="shared" si="107"/>
        <v>464898.98206316761</v>
      </c>
      <c r="AQ42" s="753">
        <f t="shared" si="108"/>
        <v>19527.466434087095</v>
      </c>
      <c r="AR42" s="752">
        <f t="shared" si="109"/>
        <v>484426.44849725469</v>
      </c>
      <c r="AS42" s="753">
        <f t="shared" si="110"/>
        <v>42558.767107988511</v>
      </c>
      <c r="AT42" s="752">
        <f t="shared" si="111"/>
        <v>549119.19287626538</v>
      </c>
      <c r="AU42" s="843">
        <f t="shared" si="112"/>
        <v>17091.874340557632</v>
      </c>
      <c r="AV42" s="308"/>
      <c r="AW42" s="308"/>
      <c r="AX42" s="308"/>
      <c r="AY42" s="308"/>
    </row>
    <row r="43" spans="1:51" ht="15.75" thickBot="1" x14ac:dyDescent="0.3">
      <c r="B43" s="1345"/>
      <c r="C43" s="1348"/>
      <c r="D43" s="149" t="s">
        <v>237</v>
      </c>
      <c r="E43" s="152"/>
      <c r="F43" s="151"/>
      <c r="G43" s="151"/>
      <c r="H43" s="151"/>
      <c r="I43" s="773"/>
      <c r="J43" s="723"/>
      <c r="K43" s="782"/>
      <c r="L43" s="783"/>
      <c r="M43" s="784"/>
      <c r="N43" s="784"/>
      <c r="O43" s="785"/>
      <c r="P43" s="710"/>
      <c r="Q43" s="682">
        <f t="shared" si="84"/>
        <v>0</v>
      </c>
      <c r="R43" s="682">
        <f t="shared" si="85"/>
        <v>0</v>
      </c>
      <c r="S43" s="683">
        <f t="shared" si="86"/>
        <v>0</v>
      </c>
      <c r="T43" s="683">
        <f t="shared" si="87"/>
        <v>0</v>
      </c>
      <c r="U43" s="682">
        <f t="shared" si="88"/>
        <v>0</v>
      </c>
      <c r="V43" s="683">
        <f t="shared" si="89"/>
        <v>0</v>
      </c>
      <c r="W43" s="683">
        <f t="shared" si="90"/>
        <v>0</v>
      </c>
      <c r="X43" s="745">
        <f t="shared" si="91"/>
        <v>0</v>
      </c>
      <c r="Y43" s="745">
        <f t="shared" si="82"/>
        <v>0</v>
      </c>
      <c r="Z43" s="685">
        <f>(Z41+Z42)*15/100</f>
        <v>69156.8070534</v>
      </c>
      <c r="AA43" s="686">
        <f t="shared" si="92"/>
        <v>7607.2487758739999</v>
      </c>
      <c r="AB43" s="687">
        <f t="shared" si="93"/>
        <v>17289.20176335</v>
      </c>
      <c r="AC43" s="688">
        <f t="shared" si="94"/>
        <v>86446.008816749993</v>
      </c>
      <c r="AD43" s="687">
        <f t="shared" si="95"/>
        <v>10373.521058010001</v>
      </c>
      <c r="AE43" s="687">
        <f t="shared" si="96"/>
        <v>19018.121939684999</v>
      </c>
      <c r="AF43" s="687">
        <f t="shared" si="97"/>
        <v>31120.563174029998</v>
      </c>
      <c r="AG43" s="687">
        <f t="shared" si="98"/>
        <v>47095.785603365395</v>
      </c>
      <c r="AH43" s="688">
        <f t="shared" si="99"/>
        <v>133541.79442011542</v>
      </c>
      <c r="AI43" s="687">
        <f t="shared" si="100"/>
        <v>38036.243879369998</v>
      </c>
      <c r="AJ43" s="687">
        <f t="shared" si="101"/>
        <v>63209.321646807606</v>
      </c>
      <c r="AK43" s="687">
        <f t="shared" si="102"/>
        <v>71853.922528482595</v>
      </c>
      <c r="AL43" s="689">
        <f t="shared" si="103"/>
        <v>10857.618707383799</v>
      </c>
      <c r="AM43" s="769">
        <f t="shared" si="104"/>
        <v>17323.780166876699</v>
      </c>
      <c r="AN43" s="772">
        <f t="shared" si="105"/>
        <v>247221.75385449434</v>
      </c>
      <c r="AO43" s="691">
        <f t="shared" si="106"/>
        <v>21755.514339195503</v>
      </c>
      <c r="AP43" s="752">
        <f t="shared" si="107"/>
        <v>268977.26819368982</v>
      </c>
      <c r="AQ43" s="753">
        <f t="shared" si="108"/>
        <v>11298.03415115039</v>
      </c>
      <c r="AR43" s="752">
        <f t="shared" si="109"/>
        <v>280275.30234484025</v>
      </c>
      <c r="AS43" s="753">
        <f t="shared" si="110"/>
        <v>24623.286683907638</v>
      </c>
      <c r="AT43" s="752">
        <f t="shared" si="111"/>
        <v>317704.67587841069</v>
      </c>
      <c r="AU43" s="843">
        <f t="shared" si="112"/>
        <v>9888.8701541797727</v>
      </c>
      <c r="AV43" s="308"/>
      <c r="AW43" s="308"/>
      <c r="AX43" s="308"/>
      <c r="AY43" s="308"/>
    </row>
    <row r="44" spans="1:51" ht="29.25" thickBot="1" x14ac:dyDescent="0.3">
      <c r="B44" s="1346"/>
      <c r="C44" s="1349"/>
      <c r="D44" s="43" t="s">
        <v>77</v>
      </c>
      <c r="E44" s="47"/>
      <c r="F44" s="14"/>
      <c r="G44" s="14"/>
      <c r="H44" s="14"/>
      <c r="I44" s="695"/>
      <c r="J44" s="696">
        <f>(J41+J42)*1/100</f>
        <v>1481.22</v>
      </c>
      <c r="K44" s="719">
        <f t="shared" ref="K44:P44" si="134">(K41+K42)*1/100</f>
        <v>1652.13</v>
      </c>
      <c r="L44" s="720">
        <f t="shared" si="134"/>
        <v>1899.9495000000002</v>
      </c>
      <c r="M44" s="721">
        <f t="shared" si="134"/>
        <v>2065.1624999999999</v>
      </c>
      <c r="N44" s="721">
        <f t="shared" si="134"/>
        <v>2230.3755000000001</v>
      </c>
      <c r="O44" s="722">
        <f t="shared" si="134"/>
        <v>2230.3755000000001</v>
      </c>
      <c r="P44" s="696">
        <f t="shared" si="134"/>
        <v>2208.0717449999997</v>
      </c>
      <c r="Q44" s="682">
        <f t="shared" si="84"/>
        <v>2649.6860939999997</v>
      </c>
      <c r="R44" s="682">
        <f t="shared" si="85"/>
        <v>2870.4932684999994</v>
      </c>
      <c r="S44" s="683">
        <f t="shared" si="86"/>
        <v>331.21076174999996</v>
      </c>
      <c r="T44" s="683">
        <f t="shared" si="87"/>
        <v>662.42152349999992</v>
      </c>
      <c r="U44" s="682">
        <f t="shared" si="88"/>
        <v>3532.9147919999996</v>
      </c>
      <c r="V44" s="683">
        <f t="shared" si="89"/>
        <v>220.80717449999997</v>
      </c>
      <c r="W44" s="683">
        <f t="shared" si="90"/>
        <v>441.61434899999995</v>
      </c>
      <c r="X44" s="745">
        <f t="shared" si="91"/>
        <v>861.14798054999994</v>
      </c>
      <c r="Y44" s="745">
        <f t="shared" si="82"/>
        <v>216.39103101000001</v>
      </c>
      <c r="Z44" s="685">
        <f>P44*108.8/100+P44</f>
        <v>4610.4538035599999</v>
      </c>
      <c r="AA44" s="788">
        <f t="shared" si="92"/>
        <v>507.14991839160001</v>
      </c>
      <c r="AB44" s="789">
        <f t="shared" si="93"/>
        <v>1152.61345089</v>
      </c>
      <c r="AC44" s="790">
        <f t="shared" si="94"/>
        <v>5763.0672544499994</v>
      </c>
      <c r="AD44" s="789">
        <f t="shared" si="95"/>
        <v>691.56807053399996</v>
      </c>
      <c r="AE44" s="789">
        <f t="shared" si="96"/>
        <v>1267.8747959789998</v>
      </c>
      <c r="AF44" s="789">
        <f t="shared" si="97"/>
        <v>2074.7042116020002</v>
      </c>
      <c r="AG44" s="789">
        <f t="shared" si="98"/>
        <v>3139.7190402243596</v>
      </c>
      <c r="AH44" s="790">
        <f t="shared" si="99"/>
        <v>8902.7862946743589</v>
      </c>
      <c r="AI44" s="789">
        <f t="shared" si="100"/>
        <v>2535.7495919579997</v>
      </c>
      <c r="AJ44" s="789">
        <f t="shared" si="101"/>
        <v>4213.9547764538402</v>
      </c>
      <c r="AK44" s="789">
        <f t="shared" si="102"/>
        <v>4790.2615018988399</v>
      </c>
      <c r="AL44" s="791">
        <f t="shared" si="103"/>
        <v>723.84124715892005</v>
      </c>
      <c r="AM44" s="792">
        <f t="shared" si="104"/>
        <v>1154.9186777917801</v>
      </c>
      <c r="AN44" s="793">
        <f t="shared" si="105"/>
        <v>16481.450256966287</v>
      </c>
      <c r="AO44" s="691">
        <f t="shared" si="106"/>
        <v>1450.3676226130335</v>
      </c>
      <c r="AP44" s="752">
        <f t="shared" si="107"/>
        <v>17931.817879579321</v>
      </c>
      <c r="AQ44" s="753">
        <f t="shared" si="108"/>
        <v>753.20227674335945</v>
      </c>
      <c r="AR44" s="752">
        <f t="shared" si="109"/>
        <v>18685.02015632268</v>
      </c>
      <c r="AS44" s="753">
        <f t="shared" si="110"/>
        <v>1641.5524455938423</v>
      </c>
      <c r="AT44" s="752">
        <f t="shared" si="111"/>
        <v>21180.311725227377</v>
      </c>
      <c r="AU44" s="843">
        <f t="shared" si="112"/>
        <v>659.25801027865145</v>
      </c>
      <c r="AV44" s="308"/>
      <c r="AW44" s="308"/>
      <c r="AX44" s="308"/>
      <c r="AY44" s="308"/>
    </row>
    <row r="45" spans="1:51" ht="15.75" thickBot="1" x14ac:dyDescent="0.3">
      <c r="A45" s="185"/>
      <c r="B45" s="1354"/>
      <c r="C45" s="1355"/>
      <c r="D45" s="1355"/>
      <c r="E45" s="1355"/>
      <c r="F45" s="1355"/>
      <c r="G45" s="1355"/>
      <c r="H45" s="1355"/>
      <c r="I45" s="1355"/>
      <c r="J45" s="1355"/>
      <c r="K45" s="1355"/>
      <c r="L45" s="1355"/>
      <c r="M45" s="1355"/>
      <c r="N45" s="1355"/>
      <c r="O45" s="1355"/>
      <c r="P45" s="1355"/>
      <c r="Q45" s="1355"/>
      <c r="R45" s="1355"/>
      <c r="S45" s="1355"/>
      <c r="T45" s="1355"/>
      <c r="U45" s="1355"/>
      <c r="V45" s="1355"/>
      <c r="W45" s="1355"/>
      <c r="X45" s="1355"/>
      <c r="Y45" s="1355"/>
      <c r="Z45" s="1355"/>
      <c r="AA45" s="1356"/>
      <c r="AB45" s="1356"/>
      <c r="AC45" s="1356"/>
      <c r="AD45" s="1356"/>
      <c r="AE45" s="1356"/>
      <c r="AF45" s="1356"/>
      <c r="AG45" s="1356"/>
      <c r="AH45" s="1356"/>
      <c r="AI45" s="1356"/>
      <c r="AJ45" s="1356"/>
      <c r="AK45" s="1356"/>
      <c r="AL45" s="1356"/>
      <c r="AM45" s="1356"/>
      <c r="AN45" s="1356"/>
      <c r="AV45" s="308"/>
      <c r="AW45" s="308"/>
      <c r="AX45" s="308"/>
      <c r="AY45" s="308"/>
    </row>
    <row r="46" spans="1:51" ht="15.75" thickBot="1" x14ac:dyDescent="0.3">
      <c r="B46" s="1350" t="s">
        <v>2</v>
      </c>
      <c r="C46" s="1351"/>
      <c r="D46" s="1351"/>
      <c r="E46" s="31" t="s">
        <v>53</v>
      </c>
      <c r="F46" s="31" t="s">
        <v>54</v>
      </c>
      <c r="G46" s="31" t="s">
        <v>55</v>
      </c>
      <c r="H46" s="31" t="s">
        <v>56</v>
      </c>
      <c r="I46" s="794">
        <v>5078</v>
      </c>
      <c r="J46" s="795">
        <f>I46*30/100+I46</f>
        <v>6601.4</v>
      </c>
      <c r="K46" s="744">
        <f t="shared" si="31"/>
        <v>7363.1</v>
      </c>
      <c r="L46" s="707">
        <f t="shared" si="32"/>
        <v>8467.5650000000005</v>
      </c>
      <c r="M46" s="707">
        <f t="shared" si="33"/>
        <v>9203.875</v>
      </c>
      <c r="N46" s="707">
        <f t="shared" si="34"/>
        <v>9940.1850000000013</v>
      </c>
      <c r="O46" s="29">
        <f>(K46*57.82)/100+K46</f>
        <v>11620.44442</v>
      </c>
      <c r="P46" s="796">
        <f t="shared" si="35"/>
        <v>12782.488862</v>
      </c>
      <c r="Q46" s="796">
        <f t="shared" si="36"/>
        <v>13944.533304</v>
      </c>
      <c r="R46" s="796">
        <f t="shared" si="37"/>
        <v>15106.577745999999</v>
      </c>
      <c r="S46" s="683">
        <f>O46*15/100</f>
        <v>1743.0666629999998</v>
      </c>
      <c r="T46" s="683">
        <f>O46*30/100</f>
        <v>3486.1333259999997</v>
      </c>
      <c r="U46" s="682">
        <f>O46*60/100+O46</f>
        <v>18592.711071999998</v>
      </c>
      <c r="V46" s="683">
        <f>O46*10/100</f>
        <v>1162.0444419999999</v>
      </c>
      <c r="W46" s="683">
        <f>O46*20/100</f>
        <v>2324.0888839999998</v>
      </c>
      <c r="X46" s="745">
        <f>O46*39/100</f>
        <v>4531.9733237999999</v>
      </c>
      <c r="Y46" s="745">
        <f>O46*9.8/100</f>
        <v>1138.8035531600001</v>
      </c>
      <c r="Z46" s="685">
        <v>24266</v>
      </c>
      <c r="AA46" s="797">
        <f>Z46*11/100+Z46</f>
        <v>26935.260000000002</v>
      </c>
      <c r="AB46" s="798">
        <f>Z46*25/100+Z46</f>
        <v>30332.5</v>
      </c>
      <c r="AC46" s="798">
        <v>30332</v>
      </c>
      <c r="AD46" s="798">
        <f>Z46*40/100+Z46</f>
        <v>33972.400000000001</v>
      </c>
      <c r="AE46" s="798">
        <f>Z46*52.5/100+Z46</f>
        <v>37005.65</v>
      </c>
      <c r="AF46" s="798">
        <f>Z46*70/100+Z46</f>
        <v>41252.199999999997</v>
      </c>
      <c r="AG46" s="798">
        <f>Z46*93.1/100+Z46</f>
        <v>46857.646000000001</v>
      </c>
      <c r="AH46" s="1236">
        <f>Z46*148.1/100+Z46</f>
        <v>60203.946000000004</v>
      </c>
      <c r="AI46" s="1236"/>
      <c r="AJ46" s="798">
        <f>Z46*184.5/100+Z46</f>
        <v>69036.76999999999</v>
      </c>
      <c r="AK46" s="798">
        <f>Z46*197/100+Z46</f>
        <v>72070.01999999999</v>
      </c>
      <c r="AL46" s="799"/>
      <c r="AM46" s="799"/>
      <c r="AN46" s="800">
        <f>Z46*257.48/100+Z46</f>
        <v>86746.096799999999</v>
      </c>
      <c r="AO46" s="801">
        <f>AN46*8.8/100+AN46</f>
        <v>94379.753318400006</v>
      </c>
      <c r="AP46" s="1213">
        <f>AN46*4.57/100+AO46</f>
        <v>98344.049942160011</v>
      </c>
      <c r="AQ46" s="1219"/>
      <c r="AR46" s="802">
        <f>AN46*13.37/100+AN46</f>
        <v>98344.049942159996</v>
      </c>
      <c r="AS46" s="1213">
        <f>AN46*28.51/100+AN46</f>
        <v>111477.40899768</v>
      </c>
      <c r="AT46" s="1214"/>
      <c r="AU46" s="857">
        <f>AN46*32.51/100+AN46</f>
        <v>114947.25286968</v>
      </c>
      <c r="AV46" s="308"/>
      <c r="AW46" s="308"/>
      <c r="AX46" s="308"/>
      <c r="AY46" s="308"/>
    </row>
    <row r="47" spans="1:51" ht="15.75" thickBot="1" x14ac:dyDescent="0.3">
      <c r="B47" s="1338" t="s">
        <v>3</v>
      </c>
      <c r="C47" s="1339"/>
      <c r="D47" s="1339"/>
      <c r="E47" s="32" t="s">
        <v>57</v>
      </c>
      <c r="F47" s="32" t="s">
        <v>58</v>
      </c>
      <c r="G47" s="32" t="s">
        <v>59</v>
      </c>
      <c r="H47" s="32" t="s">
        <v>60</v>
      </c>
      <c r="I47" s="803">
        <v>3174</v>
      </c>
      <c r="J47" s="804">
        <f>I47*30/100+I47</f>
        <v>4126.2</v>
      </c>
      <c r="K47" s="805">
        <f t="shared" si="31"/>
        <v>4602.3</v>
      </c>
      <c r="L47" s="713">
        <f t="shared" si="32"/>
        <v>5292.6450000000004</v>
      </c>
      <c r="M47" s="713">
        <f t="shared" si="33"/>
        <v>5752.875</v>
      </c>
      <c r="N47" s="713">
        <f t="shared" si="34"/>
        <v>6213.1050000000005</v>
      </c>
      <c r="O47" s="806">
        <f t="shared" ref="O47:O48" si="135">(K47*57.82)/100+K47</f>
        <v>7263.3498600000003</v>
      </c>
      <c r="P47" s="807">
        <f t="shared" si="35"/>
        <v>7989.6848460000001</v>
      </c>
      <c r="Q47" s="807">
        <f t="shared" si="36"/>
        <v>8716.019832</v>
      </c>
      <c r="R47" s="807">
        <f t="shared" si="37"/>
        <v>9442.3548179999998</v>
      </c>
      <c r="S47" s="717">
        <f t="shared" ref="S47:S48" si="136">O47*15/100</f>
        <v>1089.502479</v>
      </c>
      <c r="T47" s="717">
        <f t="shared" ref="T47:T48" si="137">O47*30/100</f>
        <v>2179.004958</v>
      </c>
      <c r="U47" s="716">
        <f t="shared" ref="U47:U48" si="138">O47*60/100+O47</f>
        <v>11621.359776000001</v>
      </c>
      <c r="V47" s="717">
        <f t="shared" ref="V47:V48" si="139">O47*10/100</f>
        <v>726.33498600000007</v>
      </c>
      <c r="W47" s="717">
        <f t="shared" ref="W47:W48" si="140">O47*20/100</f>
        <v>1452.6699720000001</v>
      </c>
      <c r="X47" s="808">
        <f t="shared" ref="X47:X48" si="141">O47*39/100</f>
        <v>2832.7064454000001</v>
      </c>
      <c r="Y47" s="808">
        <f>O47*9.8/100</f>
        <v>711.80828628000006</v>
      </c>
      <c r="Z47" s="718">
        <f>O47*108.8/100+O47</f>
        <v>15165.874507680001</v>
      </c>
      <c r="AA47" s="809">
        <f t="shared" ref="AA47:AA48" si="142">Z47*11/100+Z47</f>
        <v>16834.120703524801</v>
      </c>
      <c r="AB47" s="810">
        <f t="shared" ref="AB47:AB48" si="143">Z47*25/100+Z47</f>
        <v>18957.3431346</v>
      </c>
      <c r="AC47" s="810">
        <v>18958</v>
      </c>
      <c r="AD47" s="810">
        <f t="shared" ref="AD47:AD48" si="144">Z47*40/100+Z47</f>
        <v>21232.224310752001</v>
      </c>
      <c r="AE47" s="810">
        <f t="shared" ref="AE47:AE49" si="145">Z47*52.5/100+Z47</f>
        <v>23127.958624212002</v>
      </c>
      <c r="AF47" s="810">
        <f t="shared" ref="AF47:AF49" si="146">Z47*70/100+Z47</f>
        <v>25781.986663055999</v>
      </c>
      <c r="AG47" s="810">
        <f t="shared" ref="AG47:AG50" si="147">Z47*93.1/100+Z47</f>
        <v>29285.303674330084</v>
      </c>
      <c r="AH47" s="1235">
        <f t="shared" ref="AH47:AH50" si="148">Z47*148.1/100+Z47</f>
        <v>37626.534653554081</v>
      </c>
      <c r="AI47" s="1235"/>
      <c r="AJ47" s="810">
        <f t="shared" ref="AJ47:AJ50" si="149">Z47*184.5/100+Z47</f>
        <v>43146.912974349601</v>
      </c>
      <c r="AK47" s="810">
        <f t="shared" ref="AK47:AK50" si="150">Z47*197/100+Z47</f>
        <v>45042.647287809603</v>
      </c>
      <c r="AL47" s="811"/>
      <c r="AM47" s="811"/>
      <c r="AN47" s="812">
        <f t="shared" ref="AN47:AN50" si="151">Z47*257.48/100+Z47</f>
        <v>54214.968190054467</v>
      </c>
      <c r="AO47" s="813">
        <f t="shared" ref="AO47:AO50" si="152">AN47*8.8/100+AN47</f>
        <v>58985.885390779258</v>
      </c>
      <c r="AP47" s="1217">
        <f t="shared" ref="AP47:AP50" si="153">AN47*4.57/100+AO47</f>
        <v>61463.509437064749</v>
      </c>
      <c r="AQ47" s="1218"/>
      <c r="AR47" s="802">
        <f t="shared" ref="AR47:AR50" si="154">AN47*13.37/100+AN47</f>
        <v>61463.509437064749</v>
      </c>
      <c r="AS47" s="1213">
        <f t="shared" ref="AS47:AS50" si="155">AN47*28.51/100+AN47</f>
        <v>69671.655621038997</v>
      </c>
      <c r="AT47" s="1214"/>
      <c r="AU47" s="857">
        <f t="shared" ref="AU47:AU50" si="156">AN47*32.51/100+AN47</f>
        <v>71840.254348641174</v>
      </c>
      <c r="AV47" s="308"/>
      <c r="AW47" s="308"/>
      <c r="AX47" s="308"/>
      <c r="AY47" s="308"/>
    </row>
    <row r="48" spans="1:51" ht="15.75" thickBot="1" x14ac:dyDescent="0.3">
      <c r="B48" s="1338" t="s">
        <v>61</v>
      </c>
      <c r="C48" s="1339"/>
      <c r="D48" s="1339"/>
      <c r="E48" s="32" t="s">
        <v>62</v>
      </c>
      <c r="F48" s="32" t="s">
        <v>63</v>
      </c>
      <c r="G48" s="32" t="s">
        <v>64</v>
      </c>
      <c r="H48" s="32" t="s">
        <v>65</v>
      </c>
      <c r="I48" s="803">
        <v>2183</v>
      </c>
      <c r="J48" s="804">
        <f>I48*30/100+I48</f>
        <v>2837.9</v>
      </c>
      <c r="K48" s="805">
        <f t="shared" si="31"/>
        <v>3165.35</v>
      </c>
      <c r="L48" s="713">
        <f t="shared" si="32"/>
        <v>3640.1525000000001</v>
      </c>
      <c r="M48" s="713">
        <f t="shared" si="33"/>
        <v>3956.6875</v>
      </c>
      <c r="N48" s="713">
        <f t="shared" si="34"/>
        <v>4273.2224999999999</v>
      </c>
      <c r="O48" s="806">
        <f t="shared" si="135"/>
        <v>4995.55537</v>
      </c>
      <c r="P48" s="807">
        <f t="shared" si="35"/>
        <v>5495.1109070000002</v>
      </c>
      <c r="Q48" s="807">
        <f t="shared" si="36"/>
        <v>5994.6664440000004</v>
      </c>
      <c r="R48" s="807">
        <f t="shared" si="37"/>
        <v>6494.2219809999997</v>
      </c>
      <c r="S48" s="717">
        <f t="shared" si="136"/>
        <v>749.33330549999994</v>
      </c>
      <c r="T48" s="717">
        <f t="shared" si="137"/>
        <v>1498.6666109999999</v>
      </c>
      <c r="U48" s="716">
        <f t="shared" si="138"/>
        <v>7992.8885919999993</v>
      </c>
      <c r="V48" s="717">
        <f t="shared" si="139"/>
        <v>499.55553700000002</v>
      </c>
      <c r="W48" s="717">
        <f t="shared" si="140"/>
        <v>999.11107400000003</v>
      </c>
      <c r="X48" s="808">
        <f t="shared" si="141"/>
        <v>1948.2665943</v>
      </c>
      <c r="Y48" s="808">
        <f>O48*9.8/100</f>
        <v>489.56442626000006</v>
      </c>
      <c r="Z48" s="718">
        <f>O48*108.8/100+O48</f>
        <v>10430.719612559998</v>
      </c>
      <c r="AA48" s="809">
        <f t="shared" si="142"/>
        <v>11578.098769941598</v>
      </c>
      <c r="AB48" s="810">
        <f t="shared" si="143"/>
        <v>13038.399515699999</v>
      </c>
      <c r="AC48" s="810">
        <f t="shared" ref="AC48" si="157">Z48*25/100+Z48</f>
        <v>13038.399515699999</v>
      </c>
      <c r="AD48" s="810">
        <f t="shared" si="144"/>
        <v>14603.007457583997</v>
      </c>
      <c r="AE48" s="810">
        <f t="shared" si="145"/>
        <v>15906.847409153997</v>
      </c>
      <c r="AF48" s="810">
        <f t="shared" si="146"/>
        <v>17732.223341351997</v>
      </c>
      <c r="AG48" s="810">
        <f t="shared" si="147"/>
        <v>20141.719571853355</v>
      </c>
      <c r="AH48" s="1235">
        <f t="shared" si="148"/>
        <v>25878.615358761359</v>
      </c>
      <c r="AI48" s="1235"/>
      <c r="AJ48" s="810">
        <f t="shared" si="149"/>
        <v>29675.397297733198</v>
      </c>
      <c r="AK48" s="810">
        <f t="shared" si="150"/>
        <v>30979.237249303194</v>
      </c>
      <c r="AL48" s="811"/>
      <c r="AM48" s="811"/>
      <c r="AN48" s="812">
        <f t="shared" si="151"/>
        <v>37287.736470979486</v>
      </c>
      <c r="AO48" s="813">
        <f t="shared" si="152"/>
        <v>40569.057280425681</v>
      </c>
      <c r="AP48" s="1217">
        <f t="shared" si="153"/>
        <v>42273.10683714944</v>
      </c>
      <c r="AQ48" s="1218"/>
      <c r="AR48" s="802">
        <f t="shared" si="154"/>
        <v>42273.10683714944</v>
      </c>
      <c r="AS48" s="1213">
        <f t="shared" si="155"/>
        <v>47918.470138855737</v>
      </c>
      <c r="AT48" s="1214"/>
      <c r="AU48" s="857">
        <f t="shared" si="156"/>
        <v>49409.979597694917</v>
      </c>
      <c r="AV48" s="308"/>
      <c r="AW48" s="308"/>
      <c r="AX48" s="308"/>
      <c r="AY48" s="308"/>
    </row>
    <row r="49" spans="2:51" ht="15.75" thickBot="1" x14ac:dyDescent="0.3">
      <c r="B49" s="1338" t="s">
        <v>255</v>
      </c>
      <c r="C49" s="1339"/>
      <c r="D49" s="1339"/>
      <c r="E49" s="32"/>
      <c r="F49" s="32"/>
      <c r="G49" s="32"/>
      <c r="H49" s="32"/>
      <c r="I49" s="803"/>
      <c r="J49" s="804"/>
      <c r="K49" s="805">
        <v>3544</v>
      </c>
      <c r="L49" s="713">
        <f>(K49*15/100)+K49</f>
        <v>4075.6</v>
      </c>
      <c r="M49" s="713">
        <f>(K49*10/100)+L49</f>
        <v>4430</v>
      </c>
      <c r="N49" s="713">
        <f>(K49*10/100)+M49</f>
        <v>4784.3999999999996</v>
      </c>
      <c r="O49" s="806">
        <f>(K49*22.8/100)+N49</f>
        <v>5592.4319999999998</v>
      </c>
      <c r="P49" s="807">
        <f>(O49*10/100)+O49</f>
        <v>6151.6751999999997</v>
      </c>
      <c r="Q49" s="807">
        <f t="shared" si="36"/>
        <v>6710.9183999999996</v>
      </c>
      <c r="R49" s="807">
        <f t="shared" si="37"/>
        <v>7270.1615999999995</v>
      </c>
      <c r="S49" s="814">
        <f>(O49*15/100)+R49</f>
        <v>8109.0263999999997</v>
      </c>
      <c r="T49" s="815">
        <f>(O49*15/100)+S49</f>
        <v>8947.8912</v>
      </c>
      <c r="U49" s="815">
        <f t="shared" ref="U49" si="158">O49*60/100+O49</f>
        <v>8947.8912</v>
      </c>
      <c r="V49" s="815">
        <f>(O49*10/100)+U49</f>
        <v>9507.1344000000008</v>
      </c>
      <c r="W49" s="815">
        <f>(O49*10/100)+V49</f>
        <v>10066.377600000002</v>
      </c>
      <c r="X49" s="816">
        <f>(O49*19/100)+W49</f>
        <v>11128.939680000001</v>
      </c>
      <c r="Y49" s="816">
        <f>(O49*9.8/100)+X49</f>
        <v>11676.998016000001</v>
      </c>
      <c r="Z49" s="718">
        <v>11676</v>
      </c>
      <c r="AA49" s="809">
        <f>Z49*11/100+Z49</f>
        <v>12960.36</v>
      </c>
      <c r="AB49" s="810">
        <f>Z49*25/100+Z49</f>
        <v>14595</v>
      </c>
      <c r="AC49" s="810">
        <f>Z49*25/100+Z49</f>
        <v>14595</v>
      </c>
      <c r="AD49" s="810">
        <f>Z49*40/100+Z49</f>
        <v>16346.4</v>
      </c>
      <c r="AE49" s="810">
        <f t="shared" si="145"/>
        <v>17805.900000000001</v>
      </c>
      <c r="AF49" s="810">
        <f t="shared" si="146"/>
        <v>19849.2</v>
      </c>
      <c r="AG49" s="810">
        <f t="shared" si="147"/>
        <v>22546.356</v>
      </c>
      <c r="AH49" s="1235">
        <f t="shared" si="148"/>
        <v>28968.155999999999</v>
      </c>
      <c r="AI49" s="1235"/>
      <c r="AJ49" s="810">
        <f t="shared" si="149"/>
        <v>33218.22</v>
      </c>
      <c r="AK49" s="810">
        <f t="shared" si="150"/>
        <v>34677.72</v>
      </c>
      <c r="AL49" s="811"/>
      <c r="AM49" s="811"/>
      <c r="AN49" s="812">
        <f t="shared" si="151"/>
        <v>41739.364799999996</v>
      </c>
      <c r="AO49" s="813">
        <f t="shared" si="152"/>
        <v>45412.428902399995</v>
      </c>
      <c r="AP49" s="1217">
        <f t="shared" si="153"/>
        <v>47319.917873759994</v>
      </c>
      <c r="AQ49" s="1218"/>
      <c r="AR49" s="802">
        <f t="shared" si="154"/>
        <v>47319.917873759994</v>
      </c>
      <c r="AS49" s="1213">
        <f t="shared" si="155"/>
        <v>53639.257704479998</v>
      </c>
      <c r="AT49" s="1214"/>
      <c r="AU49" s="857">
        <f t="shared" si="156"/>
        <v>55308.832296479995</v>
      </c>
      <c r="AV49" s="308"/>
      <c r="AW49" s="308"/>
      <c r="AX49" s="308"/>
      <c r="AY49" s="308"/>
    </row>
    <row r="50" spans="2:51" ht="15.75" thickBot="1" x14ac:dyDescent="0.3">
      <c r="B50" s="1372" t="s">
        <v>4</v>
      </c>
      <c r="C50" s="1373"/>
      <c r="D50" s="1373"/>
      <c r="E50" s="33">
        <v>9736</v>
      </c>
      <c r="F50" s="33">
        <v>10533</v>
      </c>
      <c r="G50" s="33">
        <v>10904</v>
      </c>
      <c r="H50" s="33">
        <v>11701</v>
      </c>
      <c r="I50" s="817">
        <v>12896</v>
      </c>
      <c r="J50" s="730">
        <v>16765</v>
      </c>
      <c r="K50" s="818">
        <v>18699</v>
      </c>
      <c r="L50" s="699">
        <f>K50*15/100+K50</f>
        <v>21503.85</v>
      </c>
      <c r="M50" s="699">
        <f>K50*25/100+K50</f>
        <v>23373.75</v>
      </c>
      <c r="N50" s="699">
        <f>K50*35/100+K50</f>
        <v>25243.65</v>
      </c>
      <c r="O50" s="819">
        <f>K50*57.82/100+K50</f>
        <v>29510.7618</v>
      </c>
      <c r="P50" s="820">
        <f>O50*10/100+O50</f>
        <v>32461.83798</v>
      </c>
      <c r="Q50" s="820">
        <f>O50*20/100+O50</f>
        <v>35412.91416</v>
      </c>
      <c r="R50" s="820">
        <f>O50*30/100+O50</f>
        <v>38363.990340000004</v>
      </c>
      <c r="S50" s="821">
        <f>O50*45/100+O50</f>
        <v>42790.604610000002</v>
      </c>
      <c r="T50" s="822">
        <f>O50*60/100+O50</f>
        <v>47217.21888</v>
      </c>
      <c r="U50" s="822">
        <f>O50*60/100+O50</f>
        <v>47217.21888</v>
      </c>
      <c r="V50" s="822">
        <f>O50*70/100+O50</f>
        <v>50168.295060000004</v>
      </c>
      <c r="W50" s="822">
        <f>O50*80/100+O50</f>
        <v>53119.37124</v>
      </c>
      <c r="X50" s="823">
        <f>O50*99/100+O50</f>
        <v>58726.415982000006</v>
      </c>
      <c r="Y50" s="823">
        <v>61620</v>
      </c>
      <c r="Z50" s="734">
        <v>61620</v>
      </c>
      <c r="AA50" s="824">
        <f>Z50*11/100+Z50</f>
        <v>68398.2</v>
      </c>
      <c r="AB50" s="825">
        <f>Z50*25/100+Z50</f>
        <v>77025</v>
      </c>
      <c r="AC50" s="825">
        <f>Z50*25/100+Z50</f>
        <v>77025</v>
      </c>
      <c r="AD50" s="825">
        <f>Z50*40/100+Z50</f>
        <v>86268</v>
      </c>
      <c r="AE50" s="825">
        <f>Z50*52.5/100+Z50</f>
        <v>93970.5</v>
      </c>
      <c r="AF50" s="825">
        <f>Z50*70/100+Z50</f>
        <v>104754</v>
      </c>
      <c r="AG50" s="825">
        <f t="shared" si="147"/>
        <v>118988.22</v>
      </c>
      <c r="AH50" s="1234">
        <f t="shared" si="148"/>
        <v>152879.22</v>
      </c>
      <c r="AI50" s="1234"/>
      <c r="AJ50" s="825">
        <f t="shared" si="149"/>
        <v>175308.9</v>
      </c>
      <c r="AK50" s="825">
        <f t="shared" si="150"/>
        <v>183011.4</v>
      </c>
      <c r="AL50" s="826"/>
      <c r="AM50" s="826"/>
      <c r="AN50" s="827">
        <f t="shared" si="151"/>
        <v>220279.17600000001</v>
      </c>
      <c r="AO50" s="828">
        <f t="shared" si="152"/>
        <v>239663.74348800001</v>
      </c>
      <c r="AP50" s="1215">
        <f t="shared" si="153"/>
        <v>249730.5018312</v>
      </c>
      <c r="AQ50" s="1216"/>
      <c r="AR50" s="802">
        <f t="shared" si="154"/>
        <v>249730.5018312</v>
      </c>
      <c r="AS50" s="1213">
        <f t="shared" si="155"/>
        <v>283080.76907759998</v>
      </c>
      <c r="AT50" s="1214"/>
      <c r="AU50" s="857">
        <f t="shared" si="156"/>
        <v>291891.93611760001</v>
      </c>
      <c r="AV50" s="308"/>
      <c r="AW50" s="308"/>
      <c r="AX50" s="308"/>
      <c r="AY50" s="308"/>
    </row>
    <row r="51" spans="2:51" ht="15.75" thickBot="1" x14ac:dyDescent="0.3">
      <c r="B51" s="1366" t="s">
        <v>78</v>
      </c>
      <c r="C51" s="1367"/>
      <c r="D51" s="1368"/>
      <c r="E51" s="1378"/>
      <c r="F51" s="1379"/>
      <c r="G51" s="1379"/>
      <c r="H51" s="1379"/>
      <c r="I51" s="1379"/>
      <c r="J51" s="1379"/>
      <c r="K51" s="1379"/>
      <c r="L51" s="1379"/>
      <c r="M51" s="1379"/>
      <c r="N51" s="1379"/>
      <c r="O51" s="1379"/>
      <c r="P51" s="1379"/>
      <c r="Q51" s="1379"/>
      <c r="R51" s="1379"/>
      <c r="S51" s="1379"/>
      <c r="T51" s="1379"/>
      <c r="U51" s="1379"/>
      <c r="V51" s="1379"/>
      <c r="W51" s="1379"/>
      <c r="X51" s="1379"/>
      <c r="Y51" s="1379"/>
      <c r="Z51" s="1379"/>
      <c r="AA51" s="1380"/>
      <c r="AB51" s="1380"/>
      <c r="AC51" s="1380"/>
      <c r="AD51" s="1380"/>
      <c r="AE51" s="1380"/>
      <c r="AF51" s="1380"/>
      <c r="AG51" s="1380"/>
      <c r="AH51" s="1380"/>
      <c r="AI51" s="1380"/>
      <c r="AJ51" s="1380"/>
      <c r="AK51" s="1380"/>
      <c r="AL51" s="1380"/>
      <c r="AM51" s="1380"/>
      <c r="AN51" s="1380"/>
      <c r="AV51" s="308"/>
      <c r="AW51" s="308"/>
      <c r="AX51" s="308"/>
      <c r="AY51" s="308"/>
    </row>
    <row r="52" spans="2:51" ht="15.75" thickBot="1" x14ac:dyDescent="0.3">
      <c r="B52" s="1369" t="s">
        <v>303</v>
      </c>
      <c r="C52" s="1370"/>
      <c r="D52" s="1371"/>
      <c r="E52" s="1381"/>
      <c r="F52" s="1382"/>
      <c r="G52" s="1382"/>
      <c r="H52" s="1382"/>
      <c r="I52" s="1382"/>
      <c r="J52" s="1382"/>
      <c r="K52" s="1382"/>
      <c r="L52" s="1382"/>
      <c r="M52" s="1382"/>
      <c r="N52" s="1382"/>
      <c r="O52" s="1382"/>
      <c r="P52" s="1382"/>
      <c r="Q52" s="1382"/>
      <c r="R52" s="1382"/>
      <c r="S52" s="1382"/>
      <c r="T52" s="1382"/>
      <c r="U52" s="1382"/>
      <c r="V52" s="1382"/>
      <c r="W52" s="1382"/>
      <c r="X52" s="1382"/>
      <c r="Y52" s="1382"/>
      <c r="Z52" s="1382"/>
      <c r="AA52" s="1382"/>
      <c r="AB52" s="1382"/>
      <c r="AC52" s="1382"/>
      <c r="AD52" s="1382"/>
      <c r="AE52" s="1382"/>
      <c r="AF52" s="1382"/>
      <c r="AG52" s="1382"/>
      <c r="AH52" s="1382"/>
      <c r="AI52" s="1382"/>
      <c r="AJ52" s="1382"/>
      <c r="AK52" s="1382"/>
      <c r="AL52" s="1382"/>
      <c r="AM52" s="1382"/>
      <c r="AN52" s="1382"/>
      <c r="AV52" s="308"/>
      <c r="AW52" s="308"/>
      <c r="AX52" s="308"/>
      <c r="AY52" s="308"/>
    </row>
    <row r="53" spans="2:51" x14ac:dyDescent="0.25">
      <c r="B53" s="1374" t="s">
        <v>66</v>
      </c>
      <c r="C53" s="1375"/>
      <c r="D53" s="1375"/>
      <c r="E53" s="292" t="s">
        <v>67</v>
      </c>
      <c r="F53" s="31" t="s">
        <v>68</v>
      </c>
      <c r="G53" s="31" t="s">
        <v>69</v>
      </c>
      <c r="H53" s="31" t="s">
        <v>69</v>
      </c>
      <c r="I53" s="794">
        <v>345</v>
      </c>
      <c r="J53" s="795">
        <v>345</v>
      </c>
      <c r="K53" s="744">
        <v>452</v>
      </c>
      <c r="L53" s="707">
        <v>452</v>
      </c>
      <c r="M53" s="707">
        <v>452</v>
      </c>
      <c r="N53" s="707">
        <v>553</v>
      </c>
      <c r="O53" s="29">
        <v>553</v>
      </c>
      <c r="P53" s="796">
        <v>734</v>
      </c>
      <c r="Q53" s="796">
        <v>734</v>
      </c>
      <c r="R53" s="796">
        <v>734</v>
      </c>
      <c r="S53" s="829">
        <v>984</v>
      </c>
      <c r="T53" s="829">
        <v>984</v>
      </c>
      <c r="U53" s="796">
        <v>984</v>
      </c>
      <c r="V53" s="829">
        <v>984</v>
      </c>
      <c r="W53" s="830">
        <v>1200</v>
      </c>
      <c r="X53" s="745">
        <v>1200</v>
      </c>
      <c r="Y53" s="745">
        <v>1200</v>
      </c>
      <c r="Z53" s="685">
        <v>1400</v>
      </c>
      <c r="AA53" s="797">
        <v>1400</v>
      </c>
      <c r="AB53" s="798">
        <v>1400</v>
      </c>
      <c r="AC53" s="798">
        <v>1400</v>
      </c>
      <c r="AD53" s="798">
        <v>2550</v>
      </c>
      <c r="AE53" s="798">
        <v>2550</v>
      </c>
      <c r="AF53" s="798">
        <v>3432</v>
      </c>
      <c r="AG53" s="798">
        <v>3432</v>
      </c>
      <c r="AH53" s="1236">
        <v>5406</v>
      </c>
      <c r="AI53" s="1236"/>
      <c r="AJ53" s="798"/>
      <c r="AK53" s="798">
        <v>5406</v>
      </c>
      <c r="AL53" s="799">
        <v>5406</v>
      </c>
      <c r="AM53" s="799">
        <v>5406</v>
      </c>
      <c r="AN53" s="831">
        <v>5406</v>
      </c>
      <c r="AO53" s="832">
        <v>7752</v>
      </c>
      <c r="AP53" s="833">
        <v>9439</v>
      </c>
      <c r="AQ53" s="833">
        <v>9439</v>
      </c>
      <c r="AR53" s="833">
        <v>9439</v>
      </c>
      <c r="AS53" s="833">
        <v>10231</v>
      </c>
      <c r="AT53" s="833">
        <v>10231</v>
      </c>
      <c r="AU53" s="834"/>
      <c r="AV53" s="844"/>
      <c r="AW53" s="308"/>
      <c r="AX53" s="308"/>
      <c r="AY53" s="308"/>
    </row>
    <row r="54" spans="2:51" ht="15.75" thickBot="1" x14ac:dyDescent="0.3">
      <c r="B54" s="1376" t="s">
        <v>70</v>
      </c>
      <c r="C54" s="1377"/>
      <c r="D54" s="1377"/>
      <c r="E54" s="293" t="s">
        <v>71</v>
      </c>
      <c r="F54" s="33" t="s">
        <v>72</v>
      </c>
      <c r="G54" s="33" t="s">
        <v>73</v>
      </c>
      <c r="H54" s="33" t="s">
        <v>74</v>
      </c>
      <c r="I54" s="817">
        <v>698</v>
      </c>
      <c r="J54" s="730">
        <f>I54*30/100+I54</f>
        <v>907.4</v>
      </c>
      <c r="K54" s="818">
        <f t="shared" ref="K54" si="159">I54*45/100+I54</f>
        <v>1012.1</v>
      </c>
      <c r="L54" s="699">
        <f t="shared" ref="L54" si="160">K54*15/100+K54</f>
        <v>1163.915</v>
      </c>
      <c r="M54" s="699">
        <f t="shared" ref="M54" si="161">K54*25/100+K54</f>
        <v>1265.125</v>
      </c>
      <c r="N54" s="699">
        <f t="shared" ref="N54" si="162">K54*35/100+K54</f>
        <v>1366.335</v>
      </c>
      <c r="O54" s="819">
        <f t="shared" ref="O54" si="163">(K54*57.82)/100+K54</f>
        <v>1597.2962200000002</v>
      </c>
      <c r="P54" s="820">
        <f t="shared" ref="P54" si="164">(O54*10)/100+O54</f>
        <v>1757.0258420000002</v>
      </c>
      <c r="Q54" s="820">
        <f t="shared" ref="Q54" si="165">(O54*20)/100+O54</f>
        <v>1916.7554640000003</v>
      </c>
      <c r="R54" s="820">
        <f t="shared" ref="R54" si="166">(O54*30)/100+O54</f>
        <v>2076.4850860000001</v>
      </c>
      <c r="S54" s="821">
        <f>O54*80/100+O54</f>
        <v>2875.1331960000002</v>
      </c>
      <c r="T54" s="822">
        <v>2875.1331960000002</v>
      </c>
      <c r="U54" s="822">
        <v>2875.1331960000002</v>
      </c>
      <c r="V54" s="822">
        <v>2875.1331960000002</v>
      </c>
      <c r="W54" s="822">
        <v>2875.1331960000002</v>
      </c>
      <c r="X54" s="763">
        <f t="shared" ref="X54" si="167">O54*39/100</f>
        <v>622.94552580000004</v>
      </c>
      <c r="Y54" s="763">
        <f>O54*9.8/100</f>
        <v>156.53502956000003</v>
      </c>
      <c r="Z54" s="734">
        <f>O54*108.8/100+O54</f>
        <v>3335.1545073600005</v>
      </c>
      <c r="AA54" s="824">
        <f t="shared" ref="AA54" si="168">Z54*11/100+Z54</f>
        <v>3702.0215031696007</v>
      </c>
      <c r="AB54" s="825">
        <f t="shared" ref="AB54" si="169">Z54*25/100+Z54</f>
        <v>4168.9431342000007</v>
      </c>
      <c r="AC54" s="825">
        <v>6918.8</v>
      </c>
      <c r="AD54" s="825">
        <v>6918.8</v>
      </c>
      <c r="AE54" s="825">
        <v>6918.8</v>
      </c>
      <c r="AF54" s="825">
        <f>Z54*122.5/100+Z54</f>
        <v>7420.7187788760011</v>
      </c>
      <c r="AG54" s="825">
        <v>7851</v>
      </c>
      <c r="AH54" s="1234">
        <v>9184</v>
      </c>
      <c r="AI54" s="1234"/>
      <c r="AJ54" s="825">
        <v>10396</v>
      </c>
      <c r="AK54" s="825">
        <v>10396</v>
      </c>
      <c r="AL54" s="791">
        <f>Z54*15.7/100</f>
        <v>523.61925765552007</v>
      </c>
      <c r="AM54" s="791">
        <f>Z54*25.05/100</f>
        <v>835.45620409368018</v>
      </c>
      <c r="AN54" s="835">
        <v>11911</v>
      </c>
      <c r="AO54" s="836">
        <f>AN54*8.8/100+AN54</f>
        <v>12959.168</v>
      </c>
      <c r="AP54" s="1220">
        <f>AN54*4.57/100+AO54</f>
        <v>13503.500700000001</v>
      </c>
      <c r="AQ54" s="1221"/>
      <c r="AR54" s="837">
        <f t="shared" ref="AR54" si="170">$AP$54</f>
        <v>13503.500700000001</v>
      </c>
      <c r="AS54" s="1220">
        <f>AN54*28.51/100+AN54</f>
        <v>15306.8261</v>
      </c>
      <c r="AT54" s="1221"/>
      <c r="AU54" s="858">
        <f>AN54*4/100</f>
        <v>476.44</v>
      </c>
      <c r="AV54" s="308"/>
      <c r="AW54" s="308"/>
      <c r="AX54" s="308"/>
      <c r="AY54" s="308"/>
    </row>
    <row r="55" spans="2:51" ht="15.75" thickBot="1" x14ac:dyDescent="0.3">
      <c r="B55" s="2"/>
      <c r="C55" s="2"/>
      <c r="D55" s="2"/>
      <c r="E55" s="838"/>
      <c r="F55" s="1"/>
      <c r="G55" s="1"/>
      <c r="H55" s="1"/>
      <c r="I55" s="1"/>
      <c r="AN55" s="426"/>
    </row>
    <row r="56" spans="2:51" ht="15.75" thickBot="1" x14ac:dyDescent="0.3">
      <c r="B56" s="1360" t="s">
        <v>79</v>
      </c>
      <c r="C56" s="1361"/>
      <c r="D56" s="1361"/>
      <c r="E56" s="1361"/>
      <c r="F56" s="1361"/>
      <c r="G56" s="1361"/>
      <c r="H56" s="1362"/>
    </row>
    <row r="57" spans="2:51" ht="15.75" thickBot="1" x14ac:dyDescent="0.3">
      <c r="B57" s="1360" t="s">
        <v>152</v>
      </c>
      <c r="C57" s="1361"/>
      <c r="D57" s="1361"/>
      <c r="E57" s="1361"/>
      <c r="F57" s="1361"/>
      <c r="G57" s="1361"/>
      <c r="H57" s="1362"/>
    </row>
    <row r="58" spans="2:51" ht="15.75" thickBot="1" x14ac:dyDescent="0.3">
      <c r="B58" s="1363" t="s">
        <v>153</v>
      </c>
      <c r="C58" s="1364"/>
      <c r="D58" s="1364"/>
      <c r="E58" s="1364"/>
      <c r="F58" s="1364"/>
      <c r="G58" s="1364"/>
      <c r="H58" s="1365"/>
    </row>
    <row r="59" spans="2:51" ht="15.75" customHeight="1" thickBot="1" x14ac:dyDescent="0.3"/>
    <row r="60" spans="2:51" ht="21.75" thickBot="1" x14ac:dyDescent="0.3">
      <c r="B60" s="1082" t="s">
        <v>81</v>
      </c>
      <c r="C60" s="1083"/>
      <c r="D60" s="1084"/>
      <c r="E60" s="1076" t="s">
        <v>81</v>
      </c>
      <c r="F60" s="1077"/>
      <c r="G60" s="1078"/>
      <c r="H60" s="1042" t="s">
        <v>81</v>
      </c>
      <c r="I60" s="1043"/>
      <c r="J60" s="1043"/>
      <c r="K60" s="1043"/>
      <c r="L60" s="1046" t="s">
        <v>81</v>
      </c>
      <c r="M60" s="1047"/>
      <c r="N60" s="1047"/>
      <c r="O60" s="1047"/>
      <c r="P60" s="1047"/>
      <c r="Q60" s="1047"/>
      <c r="R60" s="1047"/>
      <c r="S60" s="1048"/>
      <c r="T60" s="1049" t="s">
        <v>288</v>
      </c>
      <c r="U60" s="1056" t="s">
        <v>297</v>
      </c>
      <c r="V60" s="1057"/>
      <c r="W60" s="1057"/>
      <c r="X60" s="1057"/>
      <c r="Y60" s="1057"/>
      <c r="Z60" s="1057"/>
    </row>
    <row r="61" spans="2:51" ht="15.75" thickBot="1" x14ac:dyDescent="0.3">
      <c r="B61" s="282" t="s">
        <v>82</v>
      </c>
      <c r="C61" s="283">
        <v>2019</v>
      </c>
      <c r="D61" s="284">
        <v>2020</v>
      </c>
      <c r="E61" s="1079">
        <v>2021</v>
      </c>
      <c r="F61" s="1080"/>
      <c r="G61" s="1081"/>
      <c r="H61" s="1006">
        <v>2022</v>
      </c>
      <c r="I61" s="1007"/>
      <c r="J61" s="1007"/>
      <c r="K61" s="1007"/>
      <c r="L61" s="1051">
        <v>2023</v>
      </c>
      <c r="M61" s="1052"/>
      <c r="N61" s="1052"/>
      <c r="O61" s="1052"/>
      <c r="P61" s="1052"/>
      <c r="Q61" s="1052"/>
      <c r="R61" s="1052"/>
      <c r="S61" s="1053"/>
      <c r="T61" s="1050"/>
      <c r="U61" s="1058">
        <v>2024</v>
      </c>
      <c r="V61" s="1059"/>
      <c r="W61" s="1059"/>
      <c r="X61" s="1059"/>
      <c r="Y61" s="1059"/>
      <c r="Z61" s="1059"/>
    </row>
    <row r="62" spans="2:51" x14ac:dyDescent="0.25">
      <c r="B62" s="153" t="s">
        <v>83</v>
      </c>
      <c r="C62" s="154"/>
      <c r="D62" s="155"/>
      <c r="E62" s="285">
        <v>44378</v>
      </c>
      <c r="F62" s="286">
        <v>44774</v>
      </c>
      <c r="G62" s="343" t="s">
        <v>86</v>
      </c>
      <c r="H62" s="156">
        <v>44774</v>
      </c>
      <c r="I62" s="157">
        <v>44927</v>
      </c>
      <c r="J62" s="158">
        <v>45047</v>
      </c>
      <c r="K62" s="638" t="s">
        <v>236</v>
      </c>
      <c r="L62" s="322">
        <v>45047</v>
      </c>
      <c r="M62" s="344">
        <v>45139</v>
      </c>
      <c r="N62" s="344">
        <v>45231</v>
      </c>
      <c r="O62" s="344">
        <v>45261</v>
      </c>
      <c r="P62" s="1041">
        <v>45292</v>
      </c>
      <c r="Q62" s="1041"/>
      <c r="R62" s="344">
        <v>45323</v>
      </c>
      <c r="S62" s="323">
        <v>45383</v>
      </c>
      <c r="T62" s="1054">
        <v>478309</v>
      </c>
      <c r="U62" s="639" t="s">
        <v>298</v>
      </c>
      <c r="V62" s="640" t="s">
        <v>305</v>
      </c>
      <c r="W62" s="640" t="s">
        <v>340</v>
      </c>
      <c r="X62" s="640"/>
      <c r="Y62" s="640"/>
      <c r="Z62" s="640"/>
    </row>
    <row r="63" spans="2:51" ht="15.75" thickBot="1" x14ac:dyDescent="0.3">
      <c r="B63" s="144" t="s">
        <v>84</v>
      </c>
      <c r="C63" s="145">
        <v>28000</v>
      </c>
      <c r="D63" s="146">
        <v>40600</v>
      </c>
      <c r="E63" s="287">
        <v>54800</v>
      </c>
      <c r="F63" s="288">
        <v>9267</v>
      </c>
      <c r="G63" s="289">
        <f>E63+F63</f>
        <v>64067</v>
      </c>
      <c r="H63" s="147">
        <f>(G63*30/100+G63)</f>
        <v>83287.100000000006</v>
      </c>
      <c r="I63" s="145">
        <f>G63*50/100</f>
        <v>32033.5</v>
      </c>
      <c r="J63" s="159">
        <f>G63*28.8/100</f>
        <v>18451.296000000002</v>
      </c>
      <c r="K63" s="182">
        <f>H63+I63+J63</f>
        <v>133771.89600000001</v>
      </c>
      <c r="L63" s="324">
        <f>K63*25/100+K63</f>
        <v>167214.87</v>
      </c>
      <c r="M63" s="326">
        <f>K63*82.5/100</f>
        <v>110361.81419999999</v>
      </c>
      <c r="N63" s="327">
        <f>K63*15/100</f>
        <v>20065.7844</v>
      </c>
      <c r="O63" s="327">
        <f>K63*13.1/100</f>
        <v>17524.118375999999</v>
      </c>
      <c r="P63" s="1091">
        <f>K63*40/100</f>
        <v>53508.758399999999</v>
      </c>
      <c r="Q63" s="1092"/>
      <c r="R63" s="327">
        <f>K63*36.4/100</f>
        <v>48692.970143999999</v>
      </c>
      <c r="S63" s="325">
        <f>K63*45.48/100</f>
        <v>60839.458300799997</v>
      </c>
      <c r="T63" s="1055"/>
      <c r="U63" s="641">
        <f>T62*8.8/100+T62</f>
        <v>520400.19199999998</v>
      </c>
      <c r="V63" s="376">
        <f>T62*4.57/100</f>
        <v>21858.721300000005</v>
      </c>
      <c r="W63" s="860">
        <v>72414</v>
      </c>
      <c r="X63" s="640"/>
      <c r="Y63" s="640"/>
      <c r="Z63" s="640"/>
    </row>
    <row r="64" spans="2:51" x14ac:dyDescent="0.25">
      <c r="B64" s="185"/>
      <c r="C64" s="185"/>
      <c r="D64" s="185"/>
      <c r="E64" s="185"/>
      <c r="F64" s="185"/>
      <c r="G64" s="185"/>
      <c r="H64" s="185"/>
      <c r="I64" s="185"/>
      <c r="J64" s="185"/>
      <c r="K64" s="185"/>
      <c r="L64" s="185"/>
      <c r="M64" s="185"/>
      <c r="N64" s="185"/>
    </row>
    <row r="65" spans="1:15" ht="16.5" thickBot="1" x14ac:dyDescent="0.3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</row>
    <row r="66" spans="1:15" ht="16.5" thickBot="1" x14ac:dyDescent="0.3">
      <c r="A66" s="16"/>
      <c r="B66" s="1070" t="s">
        <v>88</v>
      </c>
      <c r="C66" s="1071"/>
      <c r="D66" s="1071"/>
      <c r="E66" s="1071"/>
      <c r="F66" s="1071"/>
      <c r="G66" s="1071"/>
      <c r="H66" s="1071"/>
      <c r="I66" s="1071"/>
      <c r="J66" s="1071"/>
      <c r="K66" s="1071"/>
      <c r="L66" s="1071"/>
      <c r="M66" s="1071"/>
      <c r="N66" s="1071"/>
      <c r="O66" s="1072"/>
    </row>
    <row r="67" spans="1:15" ht="16.5" thickBot="1" x14ac:dyDescent="0.3">
      <c r="A67" s="839"/>
      <c r="B67" s="1073" t="s">
        <v>85</v>
      </c>
      <c r="C67" s="1074"/>
      <c r="D67" s="1074"/>
      <c r="E67" s="1074"/>
      <c r="F67" s="1074"/>
      <c r="G67" s="1074"/>
      <c r="H67" s="1074"/>
      <c r="I67" s="1074"/>
      <c r="J67" s="1074"/>
      <c r="K67" s="1074"/>
      <c r="L67" s="1074"/>
      <c r="M67" s="1074"/>
      <c r="N67" s="1074"/>
      <c r="O67" s="1075"/>
    </row>
    <row r="68" spans="1:15" ht="15.75" x14ac:dyDescent="0.25">
      <c r="A68" s="840"/>
      <c r="B68" s="1064" t="s">
        <v>87</v>
      </c>
      <c r="C68" s="1065"/>
      <c r="D68" s="1065"/>
      <c r="E68" s="1065"/>
      <c r="F68" s="1065"/>
      <c r="G68" s="1065"/>
      <c r="H68" s="1065"/>
      <c r="I68" s="1065"/>
      <c r="J68" s="1065"/>
      <c r="K68" s="1065"/>
      <c r="L68" s="1065"/>
      <c r="M68" s="1065"/>
      <c r="N68" s="1065"/>
      <c r="O68" s="1066"/>
    </row>
    <row r="69" spans="1:15" ht="16.5" thickBot="1" x14ac:dyDescent="0.3">
      <c r="A69" s="840"/>
      <c r="B69" s="1067"/>
      <c r="C69" s="1068"/>
      <c r="D69" s="1068"/>
      <c r="E69" s="1068"/>
      <c r="F69" s="1068"/>
      <c r="G69" s="1068"/>
      <c r="H69" s="1068"/>
      <c r="I69" s="1068"/>
      <c r="J69" s="1068"/>
      <c r="K69" s="1068"/>
      <c r="L69" s="1068"/>
      <c r="M69" s="1068"/>
      <c r="N69" s="1068"/>
      <c r="O69" s="1069"/>
    </row>
    <row r="70" spans="1:15" x14ac:dyDescent="0.25">
      <c r="A70" s="185"/>
    </row>
  </sheetData>
  <mergeCells count="148">
    <mergeCell ref="B51:D51"/>
    <mergeCell ref="B52:D52"/>
    <mergeCell ref="P62:Q62"/>
    <mergeCell ref="T60:T61"/>
    <mergeCell ref="L61:S61"/>
    <mergeCell ref="T62:T63"/>
    <mergeCell ref="B49:D49"/>
    <mergeCell ref="B48:D48"/>
    <mergeCell ref="B50:D50"/>
    <mergeCell ref="B53:D53"/>
    <mergeCell ref="B54:D54"/>
    <mergeCell ref="E51:AN52"/>
    <mergeCell ref="P63:Q63"/>
    <mergeCell ref="U60:Z60"/>
    <mergeCell ref="U61:Z61"/>
    <mergeCell ref="B68:O69"/>
    <mergeCell ref="B56:H56"/>
    <mergeCell ref="B57:H57"/>
    <mergeCell ref="B58:H58"/>
    <mergeCell ref="E61:G61"/>
    <mergeCell ref="B60:D60"/>
    <mergeCell ref="E60:G60"/>
    <mergeCell ref="H60:K60"/>
    <mergeCell ref="H61:K61"/>
    <mergeCell ref="L60:S60"/>
    <mergeCell ref="B66:O66"/>
    <mergeCell ref="B67:O67"/>
    <mergeCell ref="B23:D23"/>
    <mergeCell ref="C24:C25"/>
    <mergeCell ref="E23:I23"/>
    <mergeCell ref="E28:I28"/>
    <mergeCell ref="J23:K23"/>
    <mergeCell ref="J28:K28"/>
    <mergeCell ref="B47:D47"/>
    <mergeCell ref="C26:C27"/>
    <mergeCell ref="B26:B27"/>
    <mergeCell ref="B24:B25"/>
    <mergeCell ref="B37:B40"/>
    <mergeCell ref="C37:C40"/>
    <mergeCell ref="B41:B44"/>
    <mergeCell ref="C41:C44"/>
    <mergeCell ref="B46:D46"/>
    <mergeCell ref="B28:D28"/>
    <mergeCell ref="B29:B32"/>
    <mergeCell ref="C29:C32"/>
    <mergeCell ref="B33:B36"/>
    <mergeCell ref="C33:C36"/>
    <mergeCell ref="B45:AN45"/>
    <mergeCell ref="L23:O23"/>
    <mergeCell ref="L28:O28"/>
    <mergeCell ref="AH46:AI46"/>
    <mergeCell ref="B20:B22"/>
    <mergeCell ref="C20:C22"/>
    <mergeCell ref="C6:C7"/>
    <mergeCell ref="B6:B7"/>
    <mergeCell ref="B8:B10"/>
    <mergeCell ref="C8:C10"/>
    <mergeCell ref="B11:B13"/>
    <mergeCell ref="C11:C13"/>
    <mergeCell ref="B14:B16"/>
    <mergeCell ref="C14:C16"/>
    <mergeCell ref="B17:B19"/>
    <mergeCell ref="C17:C19"/>
    <mergeCell ref="B5:D5"/>
    <mergeCell ref="G4:G5"/>
    <mergeCell ref="H4:H5"/>
    <mergeCell ref="I4:I5"/>
    <mergeCell ref="E2:I3"/>
    <mergeCell ref="J2:K3"/>
    <mergeCell ref="L2:O3"/>
    <mergeCell ref="E4:E5"/>
    <mergeCell ref="F4:F5"/>
    <mergeCell ref="AJ4:AJ5"/>
    <mergeCell ref="AG4:AG5"/>
    <mergeCell ref="AC4:AC5"/>
    <mergeCell ref="B1:D4"/>
    <mergeCell ref="E1:I1"/>
    <mergeCell ref="J4:J5"/>
    <mergeCell ref="K4:K5"/>
    <mergeCell ref="L4:L5"/>
    <mergeCell ref="M4:M5"/>
    <mergeCell ref="N4:N5"/>
    <mergeCell ref="O4:O5"/>
    <mergeCell ref="J1:K1"/>
    <mergeCell ref="L1:O1"/>
    <mergeCell ref="P1:Z1"/>
    <mergeCell ref="P2:Z3"/>
    <mergeCell ref="P28:Z28"/>
    <mergeCell ref="U4:U5"/>
    <mergeCell ref="Q4:Q5"/>
    <mergeCell ref="R4:R5"/>
    <mergeCell ref="S4:S5"/>
    <mergeCell ref="T4:T5"/>
    <mergeCell ref="P4:P5"/>
    <mergeCell ref="W4:W5"/>
    <mergeCell ref="X4:X5"/>
    <mergeCell ref="P23:Z23"/>
    <mergeCell ref="Y4:Y5"/>
    <mergeCell ref="Z4:Z5"/>
    <mergeCell ref="V4:V5"/>
    <mergeCell ref="AE4:AE5"/>
    <mergeCell ref="AD4:AD5"/>
    <mergeCell ref="AP54:AQ54"/>
    <mergeCell ref="AA28:AM28"/>
    <mergeCell ref="AA2:AM3"/>
    <mergeCell ref="AN23:AU23"/>
    <mergeCell ref="AN28:AU28"/>
    <mergeCell ref="AA4:AA5"/>
    <mergeCell ref="AA23:AM23"/>
    <mergeCell ref="AH50:AI50"/>
    <mergeCell ref="AH49:AI49"/>
    <mergeCell ref="AH48:AI48"/>
    <mergeCell ref="AH47:AI47"/>
    <mergeCell ref="AH53:AI53"/>
    <mergeCell ref="AH54:AI54"/>
    <mergeCell ref="AS54:AT54"/>
    <mergeCell ref="AU4:AU5"/>
    <mergeCell ref="AT4:AT5"/>
    <mergeCell ref="AS4:AS5"/>
    <mergeCell ref="AR4:AR5"/>
    <mergeCell ref="AQ4:AQ5"/>
    <mergeCell ref="AP4:AP5"/>
    <mergeCell ref="AO4:AO5"/>
    <mergeCell ref="AB4:AB5"/>
    <mergeCell ref="AN4:AN5"/>
    <mergeCell ref="AK4:AK5"/>
    <mergeCell ref="AN1:AY1"/>
    <mergeCell ref="AN2:AY3"/>
    <mergeCell ref="AY4:AY5"/>
    <mergeCell ref="AX4:AX5"/>
    <mergeCell ref="AW4:AW5"/>
    <mergeCell ref="AV4:AV5"/>
    <mergeCell ref="AS50:AT50"/>
    <mergeCell ref="AS49:AT49"/>
    <mergeCell ref="AS48:AT48"/>
    <mergeCell ref="AS47:AT47"/>
    <mergeCell ref="AS46:AT46"/>
    <mergeCell ref="AP50:AQ50"/>
    <mergeCell ref="AP49:AQ49"/>
    <mergeCell ref="AP48:AQ48"/>
    <mergeCell ref="AP47:AQ47"/>
    <mergeCell ref="AP46:AQ46"/>
    <mergeCell ref="AA1:AM1"/>
    <mergeCell ref="AL4:AL5"/>
    <mergeCell ref="AI4:AI5"/>
    <mergeCell ref="AH4:AH5"/>
    <mergeCell ref="AF4:AF5"/>
    <mergeCell ref="AM4:AM5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3"/>
  <sheetViews>
    <sheetView tabSelected="1" zoomScaleNormal="100" workbookViewId="0">
      <pane xSplit="2" ySplit="3" topLeftCell="AB4" activePane="bottomRight" state="frozen"/>
      <selection pane="topRight" activeCell="C1" sqref="C1"/>
      <selection pane="bottomLeft" activeCell="A4" sqref="A4"/>
      <selection pane="bottomRight" activeCell="AI2" sqref="AI2:AI15"/>
    </sheetView>
  </sheetViews>
  <sheetFormatPr baseColWidth="10" defaultRowHeight="15" x14ac:dyDescent="0.25"/>
  <cols>
    <col min="1" max="1" width="11.42578125" style="183"/>
    <col min="2" max="2" width="24.140625" style="183" customWidth="1"/>
    <col min="3" max="3" width="12.42578125" style="183" customWidth="1"/>
    <col min="4" max="4" width="13.140625" style="183" customWidth="1"/>
    <col min="5" max="5" width="17.85546875" style="183" customWidth="1"/>
    <col min="6" max="6" width="12.42578125" style="183" customWidth="1"/>
    <col min="7" max="8" width="11.42578125" style="183"/>
    <col min="9" max="9" width="13.42578125" style="183" customWidth="1"/>
    <col min="10" max="10" width="11.42578125" style="183"/>
    <col min="11" max="11" width="16" style="183" customWidth="1"/>
    <col min="12" max="12" width="15.42578125" style="183" customWidth="1"/>
    <col min="13" max="13" width="11.7109375" style="185" customWidth="1"/>
    <col min="14" max="15" width="11.42578125" style="183"/>
    <col min="16" max="16" width="13.7109375" style="183" customWidth="1"/>
    <col min="17" max="17" width="15" style="183" customWidth="1"/>
    <col min="18" max="18" width="11.42578125" style="183"/>
    <col min="19" max="19" width="12.42578125" style="183" bestFit="1" customWidth="1"/>
    <col min="20" max="21" width="11.42578125" style="183"/>
    <col min="22" max="22" width="18.85546875" style="183" customWidth="1"/>
    <col min="23" max="27" width="11.42578125" style="183"/>
    <col min="28" max="28" width="15" style="183" customWidth="1"/>
    <col min="29" max="29" width="11.42578125" style="183"/>
    <col min="30" max="30" width="13.7109375" style="183" customWidth="1"/>
    <col min="31" max="31" width="11.42578125" style="183"/>
    <col min="32" max="32" width="12.85546875" style="183" customWidth="1"/>
    <col min="33" max="33" width="11.42578125" style="183"/>
    <col min="34" max="34" width="13.28515625" style="183" customWidth="1"/>
    <col min="35" max="16384" width="11.42578125" style="183"/>
  </cols>
  <sheetData>
    <row r="1" spans="1:39" ht="35.1" customHeight="1" thickBot="1" x14ac:dyDescent="0.3">
      <c r="A1" s="1392" t="s">
        <v>166</v>
      </c>
      <c r="B1" s="1393"/>
      <c r="C1" s="1393"/>
      <c r="D1" s="1407" t="s">
        <v>167</v>
      </c>
      <c r="E1" s="1408"/>
      <c r="F1" s="1408"/>
      <c r="G1" s="1408"/>
      <c r="H1" s="1408"/>
      <c r="I1" s="1408"/>
      <c r="J1" s="1408"/>
      <c r="K1" s="1408"/>
      <c r="L1" s="1408"/>
      <c r="M1" s="1408"/>
      <c r="N1" s="1408"/>
      <c r="O1" s="1042" t="s">
        <v>249</v>
      </c>
      <c r="P1" s="1043"/>
      <c r="Q1" s="1043"/>
      <c r="R1" s="1043"/>
      <c r="S1" s="1043"/>
      <c r="T1" s="1043"/>
      <c r="U1" s="1043"/>
      <c r="V1" s="1043"/>
      <c r="W1" s="1043"/>
      <c r="X1" s="1043"/>
      <c r="Y1" s="1043"/>
      <c r="Z1" s="1043"/>
      <c r="AA1" s="1043"/>
      <c r="AB1" s="1414" t="s">
        <v>293</v>
      </c>
      <c r="AC1" s="1415"/>
      <c r="AD1" s="1415"/>
      <c r="AE1" s="1415"/>
      <c r="AF1" s="1415"/>
      <c r="AG1" s="1415"/>
      <c r="AH1" s="1415"/>
      <c r="AI1" s="1415"/>
      <c r="AJ1" s="1415"/>
      <c r="AK1" s="1415"/>
      <c r="AL1" s="1415"/>
      <c r="AM1" s="1416"/>
    </row>
    <row r="2" spans="1:39" ht="45" x14ac:dyDescent="0.25">
      <c r="A2" s="1404" t="s">
        <v>154</v>
      </c>
      <c r="B2" s="1388" t="s">
        <v>155</v>
      </c>
      <c r="C2" s="1397" t="s">
        <v>156</v>
      </c>
      <c r="D2" s="164" t="s">
        <v>157</v>
      </c>
      <c r="E2" s="165" t="s">
        <v>158</v>
      </c>
      <c r="F2" s="166" t="s">
        <v>159</v>
      </c>
      <c r="G2" s="167" t="s">
        <v>224</v>
      </c>
      <c r="H2" s="167" t="s">
        <v>225</v>
      </c>
      <c r="I2" s="168" t="s">
        <v>226</v>
      </c>
      <c r="J2" s="167" t="s">
        <v>220</v>
      </c>
      <c r="K2" s="167" t="s">
        <v>234</v>
      </c>
      <c r="L2" s="1409" t="s">
        <v>228</v>
      </c>
      <c r="M2" s="1409"/>
      <c r="N2" s="318">
        <v>45047</v>
      </c>
      <c r="O2" s="266" t="s">
        <v>250</v>
      </c>
      <c r="P2" s="267" t="s">
        <v>251</v>
      </c>
      <c r="Q2" s="328" t="s">
        <v>252</v>
      </c>
      <c r="R2" s="328" t="s">
        <v>263</v>
      </c>
      <c r="S2" s="328" t="s">
        <v>264</v>
      </c>
      <c r="T2" s="328" t="s">
        <v>224</v>
      </c>
      <c r="U2" s="328" t="s">
        <v>270</v>
      </c>
      <c r="V2" s="1383" t="s">
        <v>226</v>
      </c>
      <c r="W2" s="1383"/>
      <c r="X2" s="329" t="s">
        <v>220</v>
      </c>
      <c r="Y2" s="1390" t="s">
        <v>234</v>
      </c>
      <c r="Z2" s="1391"/>
      <c r="AA2" s="1391"/>
      <c r="AB2" s="345" t="s">
        <v>228</v>
      </c>
      <c r="AC2" s="349" t="s">
        <v>302</v>
      </c>
      <c r="AD2" s="1411" t="s">
        <v>332</v>
      </c>
      <c r="AE2" s="1411"/>
      <c r="AF2" s="349" t="s">
        <v>251</v>
      </c>
      <c r="AG2" s="856" t="s">
        <v>252</v>
      </c>
      <c r="AH2" s="349" t="s">
        <v>263</v>
      </c>
      <c r="AI2" s="856" t="s">
        <v>264</v>
      </c>
      <c r="AJ2" s="349" t="s">
        <v>225</v>
      </c>
      <c r="AK2" s="1383" t="s">
        <v>226</v>
      </c>
      <c r="AL2" s="1383"/>
      <c r="AM2" s="268" t="s">
        <v>234</v>
      </c>
    </row>
    <row r="3" spans="1:39" ht="60.75" thickBot="1" x14ac:dyDescent="0.3">
      <c r="A3" s="1405"/>
      <c r="B3" s="1389"/>
      <c r="C3" s="1398"/>
      <c r="D3" s="169" t="s">
        <v>215</v>
      </c>
      <c r="E3" s="163" t="s">
        <v>160</v>
      </c>
      <c r="F3" s="161" t="s">
        <v>161</v>
      </c>
      <c r="G3" s="162" t="s">
        <v>216</v>
      </c>
      <c r="H3" s="177" t="s">
        <v>260</v>
      </c>
      <c r="I3" s="178" t="s">
        <v>261</v>
      </c>
      <c r="J3" s="162" t="s">
        <v>227</v>
      </c>
      <c r="K3" s="162" t="s">
        <v>229</v>
      </c>
      <c r="L3" s="160" t="s">
        <v>235</v>
      </c>
      <c r="M3" s="160" t="s">
        <v>243</v>
      </c>
      <c r="N3" s="319">
        <v>1.0880000000000001</v>
      </c>
      <c r="O3" s="297" t="s">
        <v>245</v>
      </c>
      <c r="P3" s="294" t="s">
        <v>246</v>
      </c>
      <c r="Q3" s="295" t="s">
        <v>247</v>
      </c>
      <c r="R3" s="294" t="s">
        <v>262</v>
      </c>
      <c r="S3" s="294" t="s">
        <v>268</v>
      </c>
      <c r="T3" s="294" t="s">
        <v>269</v>
      </c>
      <c r="U3" s="294" t="s">
        <v>276</v>
      </c>
      <c r="V3" s="296" t="s">
        <v>284</v>
      </c>
      <c r="W3" s="294" t="s">
        <v>285</v>
      </c>
      <c r="X3" s="294" t="s">
        <v>286</v>
      </c>
      <c r="Y3" s="294" t="s">
        <v>287</v>
      </c>
      <c r="Z3" s="312" t="s">
        <v>294</v>
      </c>
      <c r="AA3" s="312" t="s">
        <v>289</v>
      </c>
      <c r="AB3" s="851" t="s">
        <v>296</v>
      </c>
      <c r="AC3" s="160" t="s">
        <v>301</v>
      </c>
      <c r="AD3" s="308" t="s">
        <v>311</v>
      </c>
      <c r="AE3" s="160" t="s">
        <v>312</v>
      </c>
      <c r="AF3" s="841" t="s">
        <v>314</v>
      </c>
      <c r="AG3" s="160" t="s">
        <v>333</v>
      </c>
      <c r="AH3" s="841" t="s">
        <v>341</v>
      </c>
      <c r="AI3" s="160" t="s">
        <v>334</v>
      </c>
      <c r="AJ3" s="308" t="s">
        <v>335</v>
      </c>
      <c r="AK3" s="841" t="s">
        <v>336</v>
      </c>
      <c r="AL3" s="308" t="s">
        <v>337</v>
      </c>
      <c r="AM3" s="309" t="s">
        <v>337</v>
      </c>
    </row>
    <row r="4" spans="1:39" x14ac:dyDescent="0.25">
      <c r="A4" s="1396">
        <v>2</v>
      </c>
      <c r="B4" s="4" t="s">
        <v>11</v>
      </c>
      <c r="C4" s="138">
        <v>84731</v>
      </c>
      <c r="D4" s="141">
        <f>(C4*16.9)/100+C4</f>
        <v>99050.539000000004</v>
      </c>
      <c r="E4" s="137">
        <f>(D4*20)/100+D4</f>
        <v>118860.6468</v>
      </c>
      <c r="F4" s="136">
        <f>(D4*30)/100+D4</f>
        <v>128765.7007</v>
      </c>
      <c r="G4" s="240">
        <f>D4*15/100</f>
        <v>14857.58085</v>
      </c>
      <c r="H4" s="241"/>
      <c r="I4" s="242"/>
      <c r="J4" s="240">
        <f>D4*10/100</f>
        <v>9905.0539000000008</v>
      </c>
      <c r="K4" s="240">
        <f>D4*20/100</f>
        <v>19810.107800000002</v>
      </c>
      <c r="L4" s="243">
        <f>D4*39/100</f>
        <v>38629.710210000005</v>
      </c>
      <c r="M4" s="243">
        <f>D4*9.8/100</f>
        <v>9706.9528220000011</v>
      </c>
      <c r="N4" s="244">
        <v>206825</v>
      </c>
      <c r="O4" s="245">
        <f>N4*11/100</f>
        <v>22750.75</v>
      </c>
      <c r="P4" s="243">
        <f>N4*25/100</f>
        <v>51706.25</v>
      </c>
      <c r="Q4" s="246">
        <f>N4*25/100+N4</f>
        <v>258531.25</v>
      </c>
      <c r="R4" s="243">
        <f>N4*15/100</f>
        <v>31023.75</v>
      </c>
      <c r="S4" s="243">
        <f>N4*27.5/100</f>
        <v>56876.875</v>
      </c>
      <c r="T4" s="243">
        <f>N4*45/100</f>
        <v>93071.25</v>
      </c>
      <c r="U4" s="243">
        <f>N4*68.1/100</f>
        <v>140847.82499999998</v>
      </c>
      <c r="V4" s="246">
        <f>N4*93.1/100+N4</f>
        <v>399379.07500000001</v>
      </c>
      <c r="W4" s="243">
        <f>N4*55/100</f>
        <v>113753.75</v>
      </c>
      <c r="X4" s="243">
        <f>N4*91.4/100</f>
        <v>189038.05</v>
      </c>
      <c r="Y4" s="243">
        <f>N4*103.9/100</f>
        <v>214891.17499999999</v>
      </c>
      <c r="Z4" s="313">
        <f>N4*15.7/100</f>
        <v>32471.525000000001</v>
      </c>
      <c r="AA4" s="313">
        <f>N4*25.05/100</f>
        <v>51809.662499999999</v>
      </c>
      <c r="AB4" s="852">
        <f t="shared" ref="AB4:AB15" si="0">N4*257.48/100+N4</f>
        <v>739358.01000000013</v>
      </c>
      <c r="AC4" s="243">
        <f>AB4*8.8/100</f>
        <v>65063.504880000015</v>
      </c>
      <c r="AD4" s="246">
        <f>AB4*8.8/100+AB4</f>
        <v>804421.51488000015</v>
      </c>
      <c r="AE4" s="243">
        <f>AB4*4.8/100</f>
        <v>35489.184480000004</v>
      </c>
      <c r="AF4" s="246">
        <f>AB4*13.37/100+AB4</f>
        <v>838210.1759370002</v>
      </c>
      <c r="AG4" s="243">
        <f>AB4*9.96/100</f>
        <v>73640.057796000023</v>
      </c>
      <c r="AH4" s="246">
        <f>AB4*28.51/100+AB4</f>
        <v>950148.97865100019</v>
      </c>
      <c r="AI4" s="243">
        <f>AB4*4/100</f>
        <v>29574.320400000004</v>
      </c>
      <c r="AJ4" s="308"/>
      <c r="AK4" s="308"/>
      <c r="AL4" s="308"/>
      <c r="AM4" s="309"/>
    </row>
    <row r="5" spans="1:39" x14ac:dyDescent="0.25">
      <c r="A5" s="1396"/>
      <c r="B5" s="6" t="s">
        <v>12</v>
      </c>
      <c r="C5" s="139">
        <v>114388</v>
      </c>
      <c r="D5" s="141">
        <f t="shared" ref="D5:D15" si="1">(C5*16.9)/100+C5</f>
        <v>133719.57199999999</v>
      </c>
      <c r="E5" s="137">
        <f t="shared" ref="E5:E15" si="2">(D5*20)/100+D5</f>
        <v>160463.48639999999</v>
      </c>
      <c r="F5" s="136">
        <f t="shared" ref="F5:F15" si="3">(D5*30)/100+D5</f>
        <v>173835.4436</v>
      </c>
      <c r="G5" s="240">
        <f t="shared" ref="G5:G15" si="4">D5*15/100</f>
        <v>20057.935799999999</v>
      </c>
      <c r="H5" s="240">
        <f t="shared" ref="H5:H15" si="5">D5*30/100</f>
        <v>40115.871599999999</v>
      </c>
      <c r="I5" s="247">
        <f t="shared" ref="I5:I15" si="6">D5*60/100+D5</f>
        <v>213951.31519999998</v>
      </c>
      <c r="J5" s="240">
        <f t="shared" ref="J5:J15" si="7">D5*10/100</f>
        <v>13371.957199999997</v>
      </c>
      <c r="K5" s="240">
        <f t="shared" ref="K5:K15" si="8">D5*20/100</f>
        <v>26743.914399999994</v>
      </c>
      <c r="L5" s="243">
        <f t="shared" ref="L5:L15" si="9">D5*39/100</f>
        <v>52150.633079999992</v>
      </c>
      <c r="M5" s="243">
        <f t="shared" ref="M5:M15" si="10">D5*9.8/100</f>
        <v>13104.518055999999</v>
      </c>
      <c r="N5" s="244">
        <f t="shared" ref="N5:N15" si="11">D5*108.8/100+D5</f>
        <v>279206.46633599995</v>
      </c>
      <c r="O5" s="245">
        <f t="shared" ref="O5:O15" si="12">N5*11/100</f>
        <v>30712.711296959995</v>
      </c>
      <c r="P5" s="243">
        <f t="shared" ref="P5:P15" si="13">N5*25/100</f>
        <v>69801.616583999989</v>
      </c>
      <c r="Q5" s="246">
        <f t="shared" ref="Q5:Q15" si="14">N5*25/100+N5</f>
        <v>349008.08291999996</v>
      </c>
      <c r="R5" s="243">
        <f t="shared" ref="R5:R15" si="15">N5*15/100</f>
        <v>41880.969950399995</v>
      </c>
      <c r="S5" s="243">
        <f t="shared" ref="S5:S15" si="16">N5*27.5/100</f>
        <v>76781.778242399989</v>
      </c>
      <c r="T5" s="243">
        <f t="shared" ref="T5:T15" si="17">N5*45/100</f>
        <v>125642.90985119999</v>
      </c>
      <c r="U5" s="243">
        <f t="shared" ref="U5:U15" si="18">N5*68.1/100</f>
        <v>190139.60357481596</v>
      </c>
      <c r="V5" s="246">
        <f t="shared" ref="V5:V15" si="19">N5*93.1/100+N5</f>
        <v>539147.68649481586</v>
      </c>
      <c r="W5" s="243">
        <f t="shared" ref="W5:W15" si="20">N5*55/100</f>
        <v>153563.55648479998</v>
      </c>
      <c r="X5" s="243">
        <f t="shared" ref="X5:X15" si="21">N5*91.4/100</f>
        <v>255194.71023110396</v>
      </c>
      <c r="Y5" s="243">
        <f t="shared" ref="Y5:Y15" si="22">N5*103.9/100</f>
        <v>290095.51852310396</v>
      </c>
      <c r="Z5" s="313">
        <f t="shared" ref="Z5:Z15" si="23">N5*15.7/100</f>
        <v>43835.415214751985</v>
      </c>
      <c r="AA5" s="313">
        <f t="shared" ref="AA5:AA15" si="24">N5*25.05/100</f>
        <v>69941.219817167992</v>
      </c>
      <c r="AB5" s="852">
        <f t="shared" si="0"/>
        <v>998107.27585793263</v>
      </c>
      <c r="AC5" s="243">
        <f t="shared" ref="AC5:AC14" si="25">AB5*8.8/100</f>
        <v>87833.440275498069</v>
      </c>
      <c r="AD5" s="246">
        <f t="shared" ref="AD5:AD15" si="26">AB5*8.8/100+AB5</f>
        <v>1085940.7161334306</v>
      </c>
      <c r="AE5" s="243">
        <f t="shared" ref="AE5:AE15" si="27">AB5*4.8/100</f>
        <v>47909.149241180763</v>
      </c>
      <c r="AF5" s="246">
        <f t="shared" ref="AF5:AF15" si="28">AB5*13.37/100+AB5</f>
        <v>1131554.2186401382</v>
      </c>
      <c r="AG5" s="243">
        <f t="shared" ref="AG5:AG15" si="29">AB5*9.96/100</f>
        <v>99411.484675450105</v>
      </c>
      <c r="AH5" s="246">
        <f t="shared" ref="AH5:AH15" si="30">AB5*28.51/100+AB5</f>
        <v>1282667.6602050292</v>
      </c>
      <c r="AI5" s="243">
        <f t="shared" ref="AI5:AI15" si="31">AB5*4/100</f>
        <v>39924.291034317306</v>
      </c>
      <c r="AJ5" s="308"/>
      <c r="AK5" s="308"/>
      <c r="AL5" s="308"/>
      <c r="AM5" s="309"/>
    </row>
    <row r="6" spans="1:39" ht="15.75" thickBot="1" x14ac:dyDescent="0.3">
      <c r="A6" s="1396"/>
      <c r="B6" s="5" t="s">
        <v>13</v>
      </c>
      <c r="C6" s="140">
        <v>105073</v>
      </c>
      <c r="D6" s="141">
        <f t="shared" si="1"/>
        <v>122830.337</v>
      </c>
      <c r="E6" s="137">
        <f t="shared" si="2"/>
        <v>147396.4044</v>
      </c>
      <c r="F6" s="136">
        <f t="shared" si="3"/>
        <v>159679.4381</v>
      </c>
      <c r="G6" s="240">
        <f t="shared" si="4"/>
        <v>18424.55055</v>
      </c>
      <c r="H6" s="240">
        <f t="shared" si="5"/>
        <v>36849.1011</v>
      </c>
      <c r="I6" s="247">
        <f t="shared" si="6"/>
        <v>196528.5392</v>
      </c>
      <c r="J6" s="240">
        <f t="shared" si="7"/>
        <v>12283.033700000002</v>
      </c>
      <c r="K6" s="240">
        <f t="shared" si="8"/>
        <v>24566.067400000004</v>
      </c>
      <c r="L6" s="243">
        <f t="shared" si="9"/>
        <v>47903.831429999998</v>
      </c>
      <c r="M6" s="243">
        <f t="shared" si="10"/>
        <v>12037.373026000001</v>
      </c>
      <c r="N6" s="244">
        <f t="shared" si="11"/>
        <v>256469.74365600001</v>
      </c>
      <c r="O6" s="245">
        <f t="shared" si="12"/>
        <v>28211.671802159999</v>
      </c>
      <c r="P6" s="243">
        <f t="shared" si="13"/>
        <v>64117.435914000002</v>
      </c>
      <c r="Q6" s="246">
        <f t="shared" si="14"/>
        <v>320587.17957000004</v>
      </c>
      <c r="R6" s="243">
        <f t="shared" si="15"/>
        <v>38470.461548400002</v>
      </c>
      <c r="S6" s="243">
        <f t="shared" si="16"/>
        <v>70529.17950540001</v>
      </c>
      <c r="T6" s="243">
        <f t="shared" si="17"/>
        <v>115411.3846452</v>
      </c>
      <c r="U6" s="243">
        <f t="shared" si="18"/>
        <v>174655.895429736</v>
      </c>
      <c r="V6" s="246">
        <f t="shared" si="19"/>
        <v>495243.07499973598</v>
      </c>
      <c r="W6" s="243">
        <f t="shared" si="20"/>
        <v>141058.35901080002</v>
      </c>
      <c r="X6" s="243">
        <f t="shared" si="21"/>
        <v>234413.34570158404</v>
      </c>
      <c r="Y6" s="243">
        <f t="shared" si="22"/>
        <v>266472.06365858403</v>
      </c>
      <c r="Z6" s="313">
        <f t="shared" si="23"/>
        <v>40265.749753992</v>
      </c>
      <c r="AA6" s="313">
        <f t="shared" si="24"/>
        <v>64245.670785827999</v>
      </c>
      <c r="AB6" s="852">
        <f t="shared" si="0"/>
        <v>916828.03962146887</v>
      </c>
      <c r="AC6" s="243">
        <f t="shared" si="25"/>
        <v>80680.867486689269</v>
      </c>
      <c r="AD6" s="246">
        <f t="shared" si="26"/>
        <v>997508.90710815811</v>
      </c>
      <c r="AE6" s="243">
        <f t="shared" si="27"/>
        <v>44007.745901830502</v>
      </c>
      <c r="AF6" s="246">
        <f t="shared" si="28"/>
        <v>1039407.9485188592</v>
      </c>
      <c r="AG6" s="243">
        <f t="shared" si="29"/>
        <v>91316.07274629832</v>
      </c>
      <c r="AH6" s="246">
        <f t="shared" si="30"/>
        <v>1178215.7137175496</v>
      </c>
      <c r="AI6" s="243">
        <f t="shared" si="31"/>
        <v>36673.121584858753</v>
      </c>
      <c r="AJ6" s="308"/>
      <c r="AK6" s="308"/>
      <c r="AL6" s="308"/>
      <c r="AM6" s="309"/>
    </row>
    <row r="7" spans="1:39" x14ac:dyDescent="0.25">
      <c r="A7" s="1396">
        <v>3</v>
      </c>
      <c r="B7" s="4" t="s">
        <v>11</v>
      </c>
      <c r="C7" s="138">
        <v>90649</v>
      </c>
      <c r="D7" s="141">
        <f t="shared" si="1"/>
        <v>105968.681</v>
      </c>
      <c r="E7" s="137">
        <f t="shared" si="2"/>
        <v>127162.4172</v>
      </c>
      <c r="F7" s="136">
        <f t="shared" si="3"/>
        <v>137759.28529999999</v>
      </c>
      <c r="G7" s="240">
        <f t="shared" si="4"/>
        <v>15895.302149999998</v>
      </c>
      <c r="H7" s="240">
        <f t="shared" si="5"/>
        <v>31790.604299999995</v>
      </c>
      <c r="I7" s="247">
        <f t="shared" si="6"/>
        <v>169549.88959999999</v>
      </c>
      <c r="J7" s="240">
        <f t="shared" si="7"/>
        <v>10596.8681</v>
      </c>
      <c r="K7" s="240">
        <f t="shared" si="8"/>
        <v>21193.736199999999</v>
      </c>
      <c r="L7" s="243">
        <f t="shared" si="9"/>
        <v>41327.78559</v>
      </c>
      <c r="M7" s="243">
        <f t="shared" si="10"/>
        <v>10384.930738000001</v>
      </c>
      <c r="N7" s="244">
        <f t="shared" si="11"/>
        <v>221262.605928</v>
      </c>
      <c r="O7" s="245">
        <f t="shared" si="12"/>
        <v>24338.886652080004</v>
      </c>
      <c r="P7" s="243">
        <f t="shared" si="13"/>
        <v>55315.651481999994</v>
      </c>
      <c r="Q7" s="246">
        <f t="shared" si="14"/>
        <v>276578.25741000002</v>
      </c>
      <c r="R7" s="243">
        <f t="shared" si="15"/>
        <v>33189.390889200004</v>
      </c>
      <c r="S7" s="243">
        <f t="shared" si="16"/>
        <v>60847.216630199997</v>
      </c>
      <c r="T7" s="243">
        <f t="shared" si="17"/>
        <v>99568.172667600011</v>
      </c>
      <c r="U7" s="243">
        <f t="shared" si="18"/>
        <v>150679.83463696798</v>
      </c>
      <c r="V7" s="246">
        <f t="shared" si="19"/>
        <v>427258.092046968</v>
      </c>
      <c r="W7" s="243">
        <f t="shared" si="20"/>
        <v>121694.43326039999</v>
      </c>
      <c r="X7" s="243">
        <f t="shared" si="21"/>
        <v>202234.02181819201</v>
      </c>
      <c r="Y7" s="243">
        <f t="shared" si="22"/>
        <v>229891.84755919204</v>
      </c>
      <c r="Z7" s="313">
        <f t="shared" si="23"/>
        <v>34738.229130695996</v>
      </c>
      <c r="AA7" s="313">
        <f t="shared" si="24"/>
        <v>55426.282784964002</v>
      </c>
      <c r="AB7" s="852">
        <f t="shared" si="0"/>
        <v>790969.56367141451</v>
      </c>
      <c r="AC7" s="243">
        <f t="shared" si="25"/>
        <v>69605.321603084492</v>
      </c>
      <c r="AD7" s="246">
        <f t="shared" si="26"/>
        <v>860574.88527449896</v>
      </c>
      <c r="AE7" s="243">
        <f t="shared" si="27"/>
        <v>37966.539056227899</v>
      </c>
      <c r="AF7" s="246">
        <f t="shared" si="28"/>
        <v>896722.19433428266</v>
      </c>
      <c r="AG7" s="243">
        <f t="shared" si="29"/>
        <v>78780.568541672896</v>
      </c>
      <c r="AH7" s="246">
        <f t="shared" si="30"/>
        <v>1016474.9862741348</v>
      </c>
      <c r="AI7" s="243">
        <f t="shared" si="31"/>
        <v>31638.782546856579</v>
      </c>
      <c r="AJ7" s="308"/>
      <c r="AK7" s="308"/>
      <c r="AL7" s="308"/>
      <c r="AM7" s="309"/>
    </row>
    <row r="8" spans="1:39" x14ac:dyDescent="0.25">
      <c r="A8" s="1396"/>
      <c r="B8" s="6" t="s">
        <v>12</v>
      </c>
      <c r="C8" s="139">
        <v>122375</v>
      </c>
      <c r="D8" s="141">
        <f t="shared" si="1"/>
        <v>143056.375</v>
      </c>
      <c r="E8" s="137">
        <f t="shared" si="2"/>
        <v>171667.65</v>
      </c>
      <c r="F8" s="136">
        <f t="shared" si="3"/>
        <v>185973.28750000001</v>
      </c>
      <c r="G8" s="240">
        <f t="shared" si="4"/>
        <v>21458.456249999999</v>
      </c>
      <c r="H8" s="240">
        <f t="shared" si="5"/>
        <v>42916.912499999999</v>
      </c>
      <c r="I8" s="247">
        <f t="shared" si="6"/>
        <v>228890.2</v>
      </c>
      <c r="J8" s="240">
        <f t="shared" si="7"/>
        <v>14305.637500000001</v>
      </c>
      <c r="K8" s="240">
        <f t="shared" si="8"/>
        <v>28611.275000000001</v>
      </c>
      <c r="L8" s="243">
        <f t="shared" si="9"/>
        <v>55791.986250000002</v>
      </c>
      <c r="M8" s="243">
        <f t="shared" si="10"/>
        <v>14019.52475</v>
      </c>
      <c r="N8" s="244">
        <f t="shared" si="11"/>
        <v>298701.71100000001</v>
      </c>
      <c r="O8" s="245">
        <f t="shared" si="12"/>
        <v>32857.18821</v>
      </c>
      <c r="P8" s="243">
        <f t="shared" si="13"/>
        <v>74675.427750000003</v>
      </c>
      <c r="Q8" s="246">
        <f t="shared" si="14"/>
        <v>373377.13875000004</v>
      </c>
      <c r="R8" s="243">
        <f t="shared" si="15"/>
        <v>44805.256650000003</v>
      </c>
      <c r="S8" s="243">
        <f t="shared" si="16"/>
        <v>82142.970524999997</v>
      </c>
      <c r="T8" s="243">
        <f t="shared" si="17"/>
        <v>134415.76995000002</v>
      </c>
      <c r="U8" s="243">
        <f t="shared" si="18"/>
        <v>203415.86519099999</v>
      </c>
      <c r="V8" s="246">
        <f t="shared" si="19"/>
        <v>576793.00394099997</v>
      </c>
      <c r="W8" s="243">
        <f t="shared" si="20"/>
        <v>164285.94104999999</v>
      </c>
      <c r="X8" s="243">
        <f t="shared" si="21"/>
        <v>273013.363854</v>
      </c>
      <c r="Y8" s="243">
        <f t="shared" si="22"/>
        <v>310351.07772900001</v>
      </c>
      <c r="Z8" s="313">
        <f t="shared" si="23"/>
        <v>46896.168627000006</v>
      </c>
      <c r="AA8" s="313">
        <f t="shared" si="24"/>
        <v>74824.778605500003</v>
      </c>
      <c r="AB8" s="852">
        <f t="shared" si="0"/>
        <v>1067798.8764828001</v>
      </c>
      <c r="AC8" s="243">
        <f t="shared" si="25"/>
        <v>93966.301130486405</v>
      </c>
      <c r="AD8" s="246">
        <f t="shared" si="26"/>
        <v>1161765.1776132865</v>
      </c>
      <c r="AE8" s="243">
        <f t="shared" si="27"/>
        <v>51254.346071174405</v>
      </c>
      <c r="AF8" s="246">
        <f t="shared" si="28"/>
        <v>1210563.5862685505</v>
      </c>
      <c r="AG8" s="243">
        <f t="shared" si="29"/>
        <v>106352.7680976869</v>
      </c>
      <c r="AH8" s="246">
        <f t="shared" si="30"/>
        <v>1372228.3361680463</v>
      </c>
      <c r="AI8" s="243">
        <f t="shared" si="31"/>
        <v>42711.955059312008</v>
      </c>
      <c r="AJ8" s="308"/>
      <c r="AK8" s="308"/>
      <c r="AL8" s="308"/>
      <c r="AM8" s="309"/>
    </row>
    <row r="9" spans="1:39" ht="15.75" thickBot="1" x14ac:dyDescent="0.3">
      <c r="A9" s="1396"/>
      <c r="B9" s="5" t="s">
        <v>13</v>
      </c>
      <c r="C9" s="140">
        <v>112398</v>
      </c>
      <c r="D9" s="141">
        <f t="shared" si="1"/>
        <v>131393.26199999999</v>
      </c>
      <c r="E9" s="137">
        <f t="shared" si="2"/>
        <v>157671.91439999998</v>
      </c>
      <c r="F9" s="136">
        <f t="shared" si="3"/>
        <v>170811.24059999999</v>
      </c>
      <c r="G9" s="240">
        <f t="shared" si="4"/>
        <v>19708.989299999997</v>
      </c>
      <c r="H9" s="240">
        <f t="shared" si="5"/>
        <v>39417.978599999995</v>
      </c>
      <c r="I9" s="247">
        <f t="shared" si="6"/>
        <v>210229.21919999999</v>
      </c>
      <c r="J9" s="240">
        <f t="shared" si="7"/>
        <v>13139.3262</v>
      </c>
      <c r="K9" s="240">
        <f t="shared" si="8"/>
        <v>26278.652399999999</v>
      </c>
      <c r="L9" s="243">
        <f t="shared" si="9"/>
        <v>51243.372179999991</v>
      </c>
      <c r="M9" s="243">
        <f t="shared" si="10"/>
        <v>12876.539676</v>
      </c>
      <c r="N9" s="244">
        <f t="shared" si="11"/>
        <v>274349.13105600001</v>
      </c>
      <c r="O9" s="245">
        <f t="shared" si="12"/>
        <v>30178.404416160003</v>
      </c>
      <c r="P9" s="243">
        <f t="shared" si="13"/>
        <v>68587.282764000003</v>
      </c>
      <c r="Q9" s="246">
        <f t="shared" si="14"/>
        <v>342936.41382000002</v>
      </c>
      <c r="R9" s="243">
        <f t="shared" si="15"/>
        <v>41152.369658399999</v>
      </c>
      <c r="S9" s="243">
        <f t="shared" si="16"/>
        <v>75446.011040400001</v>
      </c>
      <c r="T9" s="243">
        <f t="shared" si="17"/>
        <v>123457.1089752</v>
      </c>
      <c r="U9" s="243">
        <f t="shared" si="18"/>
        <v>186831.75824913598</v>
      </c>
      <c r="V9" s="246">
        <f t="shared" si="19"/>
        <v>529768.17206913605</v>
      </c>
      <c r="W9" s="243">
        <f t="shared" si="20"/>
        <v>150892.0220808</v>
      </c>
      <c r="X9" s="243">
        <f t="shared" si="21"/>
        <v>250755.10578518402</v>
      </c>
      <c r="Y9" s="243">
        <f t="shared" si="22"/>
        <v>285048.74716718402</v>
      </c>
      <c r="Z9" s="313">
        <f t="shared" si="23"/>
        <v>43072.813575791995</v>
      </c>
      <c r="AA9" s="313">
        <f t="shared" si="24"/>
        <v>68724.457329527999</v>
      </c>
      <c r="AB9" s="852">
        <f t="shared" si="0"/>
        <v>980743.27369898884</v>
      </c>
      <c r="AC9" s="243">
        <f t="shared" si="25"/>
        <v>86305.408085511022</v>
      </c>
      <c r="AD9" s="246">
        <f t="shared" si="26"/>
        <v>1067048.6817844999</v>
      </c>
      <c r="AE9" s="243">
        <f t="shared" si="27"/>
        <v>47075.677137551465</v>
      </c>
      <c r="AF9" s="246">
        <f t="shared" si="28"/>
        <v>1111868.6493925436</v>
      </c>
      <c r="AG9" s="243">
        <f t="shared" si="29"/>
        <v>97682.030060419289</v>
      </c>
      <c r="AH9" s="246">
        <f t="shared" si="30"/>
        <v>1260353.1810305705</v>
      </c>
      <c r="AI9" s="243">
        <f t="shared" si="31"/>
        <v>39229.730947959557</v>
      </c>
      <c r="AJ9" s="308"/>
      <c r="AK9" s="308"/>
      <c r="AL9" s="308"/>
      <c r="AM9" s="309"/>
    </row>
    <row r="10" spans="1:39" x14ac:dyDescent="0.25">
      <c r="A10" s="1396">
        <v>4</v>
      </c>
      <c r="B10" s="4" t="s">
        <v>11</v>
      </c>
      <c r="C10" s="138">
        <v>97441</v>
      </c>
      <c r="D10" s="141">
        <f t="shared" si="1"/>
        <v>113908.52899999999</v>
      </c>
      <c r="E10" s="137">
        <f t="shared" si="2"/>
        <v>136690.23480000001</v>
      </c>
      <c r="F10" s="136">
        <f t="shared" si="3"/>
        <v>148081.08769999997</v>
      </c>
      <c r="G10" s="240">
        <f t="shared" si="4"/>
        <v>17086.279349999997</v>
      </c>
      <c r="H10" s="240">
        <f t="shared" si="5"/>
        <v>34172.558699999994</v>
      </c>
      <c r="I10" s="247">
        <f t="shared" si="6"/>
        <v>182253.64639999997</v>
      </c>
      <c r="J10" s="240">
        <f t="shared" si="7"/>
        <v>11390.8529</v>
      </c>
      <c r="K10" s="240">
        <f t="shared" si="8"/>
        <v>22781.7058</v>
      </c>
      <c r="L10" s="243">
        <f t="shared" si="9"/>
        <v>44424.326310000004</v>
      </c>
      <c r="M10" s="243">
        <f t="shared" si="10"/>
        <v>11163.035841999999</v>
      </c>
      <c r="N10" s="244">
        <f t="shared" si="11"/>
        <v>237841.00855199998</v>
      </c>
      <c r="O10" s="245">
        <f t="shared" si="12"/>
        <v>26162.510940719996</v>
      </c>
      <c r="P10" s="243">
        <f t="shared" si="13"/>
        <v>59460.252138000003</v>
      </c>
      <c r="Q10" s="246">
        <f t="shared" si="14"/>
        <v>297301.26068999997</v>
      </c>
      <c r="R10" s="243">
        <f t="shared" si="15"/>
        <v>35676.151282799998</v>
      </c>
      <c r="S10" s="243">
        <f t="shared" si="16"/>
        <v>65406.277351799996</v>
      </c>
      <c r="T10" s="243">
        <f t="shared" si="17"/>
        <v>107028.45384839998</v>
      </c>
      <c r="U10" s="243">
        <f t="shared" si="18"/>
        <v>161969.72682391197</v>
      </c>
      <c r="V10" s="246">
        <f t="shared" si="19"/>
        <v>459270.98751391197</v>
      </c>
      <c r="W10" s="243">
        <f t="shared" si="20"/>
        <v>130812.55470359999</v>
      </c>
      <c r="X10" s="243">
        <f t="shared" si="21"/>
        <v>217386.681816528</v>
      </c>
      <c r="Y10" s="243">
        <f t="shared" si="22"/>
        <v>247116.80788552799</v>
      </c>
      <c r="Z10" s="313">
        <f t="shared" si="23"/>
        <v>37341.038342663996</v>
      </c>
      <c r="AA10" s="313">
        <f t="shared" si="24"/>
        <v>59579.172642275997</v>
      </c>
      <c r="AB10" s="852">
        <f t="shared" si="0"/>
        <v>850234.03737168969</v>
      </c>
      <c r="AC10" s="243">
        <f t="shared" si="25"/>
        <v>74820.59528870869</v>
      </c>
      <c r="AD10" s="246">
        <f t="shared" si="26"/>
        <v>925054.63266039838</v>
      </c>
      <c r="AE10" s="243">
        <f t="shared" si="27"/>
        <v>40811.2337938411</v>
      </c>
      <c r="AF10" s="246">
        <f t="shared" si="28"/>
        <v>963910.32816828461</v>
      </c>
      <c r="AG10" s="243">
        <f t="shared" si="29"/>
        <v>84683.310122220297</v>
      </c>
      <c r="AH10" s="246">
        <f t="shared" si="30"/>
        <v>1092635.7614263585</v>
      </c>
      <c r="AI10" s="243">
        <f t="shared" si="31"/>
        <v>34009.361494867589</v>
      </c>
      <c r="AJ10" s="308"/>
      <c r="AK10" s="308"/>
      <c r="AL10" s="308"/>
      <c r="AM10" s="309"/>
    </row>
    <row r="11" spans="1:39" x14ac:dyDescent="0.25">
      <c r="A11" s="1396"/>
      <c r="B11" s="6" t="s">
        <v>12</v>
      </c>
      <c r="C11" s="139">
        <v>131545</v>
      </c>
      <c r="D11" s="141">
        <f t="shared" si="1"/>
        <v>153776.10500000001</v>
      </c>
      <c r="E11" s="137">
        <f t="shared" si="2"/>
        <v>184531.326</v>
      </c>
      <c r="F11" s="136">
        <f t="shared" si="3"/>
        <v>199908.93650000001</v>
      </c>
      <c r="G11" s="240">
        <f t="shared" si="4"/>
        <v>23066.41575</v>
      </c>
      <c r="H11" s="240">
        <f t="shared" si="5"/>
        <v>46132.8315</v>
      </c>
      <c r="I11" s="247">
        <f t="shared" si="6"/>
        <v>246041.76800000001</v>
      </c>
      <c r="J11" s="240">
        <f t="shared" si="7"/>
        <v>15377.610500000001</v>
      </c>
      <c r="K11" s="240">
        <f t="shared" si="8"/>
        <v>30755.221000000001</v>
      </c>
      <c r="L11" s="243">
        <f t="shared" si="9"/>
        <v>59972.680950000009</v>
      </c>
      <c r="M11" s="243">
        <f t="shared" si="10"/>
        <v>15070.058290000001</v>
      </c>
      <c r="N11" s="244">
        <f t="shared" si="11"/>
        <v>321084.50724000006</v>
      </c>
      <c r="O11" s="245">
        <f t="shared" si="12"/>
        <v>35319.295796400009</v>
      </c>
      <c r="P11" s="243">
        <f t="shared" si="13"/>
        <v>80271.126810000016</v>
      </c>
      <c r="Q11" s="246">
        <f t="shared" si="14"/>
        <v>401355.63405000011</v>
      </c>
      <c r="R11" s="243">
        <f t="shared" si="15"/>
        <v>48162.676086000007</v>
      </c>
      <c r="S11" s="243">
        <f t="shared" si="16"/>
        <v>88298.239491000029</v>
      </c>
      <c r="T11" s="243">
        <f t="shared" si="17"/>
        <v>144488.02825800003</v>
      </c>
      <c r="U11" s="243">
        <f t="shared" si="18"/>
        <v>218658.54943044003</v>
      </c>
      <c r="V11" s="246">
        <f t="shared" si="19"/>
        <v>620014.18348044017</v>
      </c>
      <c r="W11" s="243">
        <f t="shared" si="20"/>
        <v>176596.47898200006</v>
      </c>
      <c r="X11" s="243">
        <f t="shared" si="21"/>
        <v>293471.23961736006</v>
      </c>
      <c r="Y11" s="243">
        <f t="shared" si="22"/>
        <v>333606.80302236008</v>
      </c>
      <c r="Z11" s="313">
        <f t="shared" si="23"/>
        <v>50410.267636680008</v>
      </c>
      <c r="AA11" s="313">
        <f t="shared" si="24"/>
        <v>80431.669063620022</v>
      </c>
      <c r="AB11" s="852">
        <f t="shared" si="0"/>
        <v>1147812.8964815522</v>
      </c>
      <c r="AC11" s="243">
        <f t="shared" si="25"/>
        <v>101007.53489037658</v>
      </c>
      <c r="AD11" s="246">
        <f t="shared" si="26"/>
        <v>1248820.4313719287</v>
      </c>
      <c r="AE11" s="243">
        <f t="shared" si="27"/>
        <v>55095.019031114505</v>
      </c>
      <c r="AF11" s="246">
        <f t="shared" si="28"/>
        <v>1301275.4807411358</v>
      </c>
      <c r="AG11" s="243">
        <f t="shared" si="29"/>
        <v>114322.16448956261</v>
      </c>
      <c r="AH11" s="246">
        <f t="shared" si="30"/>
        <v>1475054.3532684427</v>
      </c>
      <c r="AI11" s="243">
        <f t="shared" si="31"/>
        <v>45912.515859262086</v>
      </c>
      <c r="AJ11" s="308"/>
      <c r="AK11" s="308"/>
      <c r="AL11" s="308"/>
      <c r="AM11" s="309"/>
    </row>
    <row r="12" spans="1:39" ht="15.75" thickBot="1" x14ac:dyDescent="0.3">
      <c r="A12" s="1396"/>
      <c r="B12" s="5" t="s">
        <v>13</v>
      </c>
      <c r="C12" s="140">
        <v>120821</v>
      </c>
      <c r="D12" s="141">
        <f t="shared" si="1"/>
        <v>141239.74900000001</v>
      </c>
      <c r="E12" s="137">
        <f t="shared" si="2"/>
        <v>169487.69880000001</v>
      </c>
      <c r="F12" s="136">
        <f t="shared" si="3"/>
        <v>183611.67370000001</v>
      </c>
      <c r="G12" s="240">
        <f t="shared" si="4"/>
        <v>21185.962350000002</v>
      </c>
      <c r="H12" s="240">
        <f t="shared" si="5"/>
        <v>42371.924700000003</v>
      </c>
      <c r="I12" s="247">
        <f t="shared" si="6"/>
        <v>225983.59840000002</v>
      </c>
      <c r="J12" s="240">
        <f t="shared" si="7"/>
        <v>14123.974900000003</v>
      </c>
      <c r="K12" s="240">
        <f t="shared" si="8"/>
        <v>28247.949800000006</v>
      </c>
      <c r="L12" s="243">
        <f t="shared" si="9"/>
        <v>55083.502110000001</v>
      </c>
      <c r="M12" s="243">
        <f t="shared" si="10"/>
        <v>13841.495402000002</v>
      </c>
      <c r="N12" s="244">
        <f t="shared" si="11"/>
        <v>294908.59591200005</v>
      </c>
      <c r="O12" s="245">
        <f t="shared" si="12"/>
        <v>32439.945550320004</v>
      </c>
      <c r="P12" s="243">
        <f t="shared" si="13"/>
        <v>73727.148978000012</v>
      </c>
      <c r="Q12" s="246">
        <f t="shared" si="14"/>
        <v>368635.74489000009</v>
      </c>
      <c r="R12" s="243">
        <f t="shared" si="15"/>
        <v>44236.289386800003</v>
      </c>
      <c r="S12" s="243">
        <f t="shared" si="16"/>
        <v>81099.863875800016</v>
      </c>
      <c r="T12" s="243">
        <f t="shared" si="17"/>
        <v>132708.86816040002</v>
      </c>
      <c r="U12" s="243">
        <f t="shared" si="18"/>
        <v>200832.75381607201</v>
      </c>
      <c r="V12" s="246">
        <f t="shared" si="19"/>
        <v>569468.4987060721</v>
      </c>
      <c r="W12" s="243">
        <f t="shared" si="20"/>
        <v>162199.72775160003</v>
      </c>
      <c r="X12" s="243">
        <f t="shared" si="21"/>
        <v>269546.45666356804</v>
      </c>
      <c r="Y12" s="243">
        <f t="shared" si="22"/>
        <v>306410.03115256806</v>
      </c>
      <c r="Z12" s="313">
        <f t="shared" si="23"/>
        <v>46300.649558184006</v>
      </c>
      <c r="AA12" s="313">
        <f t="shared" si="24"/>
        <v>73874.603275956018</v>
      </c>
      <c r="AB12" s="852">
        <f t="shared" si="0"/>
        <v>1054239.248666218</v>
      </c>
      <c r="AC12" s="243">
        <f t="shared" si="25"/>
        <v>92773.053882627195</v>
      </c>
      <c r="AD12" s="246">
        <f t="shared" si="26"/>
        <v>1147012.3025488453</v>
      </c>
      <c r="AE12" s="243">
        <f t="shared" si="27"/>
        <v>50603.48393597846</v>
      </c>
      <c r="AF12" s="246">
        <f t="shared" si="28"/>
        <v>1195191.0362128913</v>
      </c>
      <c r="AG12" s="243">
        <f t="shared" si="29"/>
        <v>105002.22916715532</v>
      </c>
      <c r="AH12" s="246">
        <f t="shared" si="30"/>
        <v>1354802.8584609567</v>
      </c>
      <c r="AI12" s="243">
        <f t="shared" si="31"/>
        <v>42169.56994664872</v>
      </c>
      <c r="AJ12" s="308"/>
      <c r="AK12" s="308"/>
      <c r="AL12" s="308"/>
      <c r="AM12" s="309"/>
    </row>
    <row r="13" spans="1:39" x14ac:dyDescent="0.25">
      <c r="A13" s="1396">
        <v>5</v>
      </c>
      <c r="B13" s="4" t="s">
        <v>11</v>
      </c>
      <c r="C13" s="138">
        <v>104242</v>
      </c>
      <c r="D13" s="141">
        <f t="shared" si="1"/>
        <v>121858.898</v>
      </c>
      <c r="E13" s="137">
        <f t="shared" si="2"/>
        <v>146230.6776</v>
      </c>
      <c r="F13" s="136">
        <f t="shared" si="3"/>
        <v>158416.5674</v>
      </c>
      <c r="G13" s="240">
        <f t="shared" si="4"/>
        <v>18278.834699999999</v>
      </c>
      <c r="H13" s="240">
        <f t="shared" si="5"/>
        <v>36557.669399999999</v>
      </c>
      <c r="I13" s="247">
        <f t="shared" si="6"/>
        <v>194974.23680000001</v>
      </c>
      <c r="J13" s="240">
        <f t="shared" si="7"/>
        <v>12185.889799999999</v>
      </c>
      <c r="K13" s="240">
        <f t="shared" si="8"/>
        <v>24371.779599999998</v>
      </c>
      <c r="L13" s="243">
        <f t="shared" si="9"/>
        <v>47524.970219999996</v>
      </c>
      <c r="M13" s="243">
        <f t="shared" si="10"/>
        <v>11942.172004000002</v>
      </c>
      <c r="N13" s="244">
        <f t="shared" si="11"/>
        <v>254441.37902399997</v>
      </c>
      <c r="O13" s="245">
        <f t="shared" si="12"/>
        <v>27988.551692639994</v>
      </c>
      <c r="P13" s="243">
        <f t="shared" si="13"/>
        <v>63610.344755999999</v>
      </c>
      <c r="Q13" s="246">
        <f t="shared" si="14"/>
        <v>318051.72377999994</v>
      </c>
      <c r="R13" s="243">
        <f t="shared" si="15"/>
        <v>38166.206853599993</v>
      </c>
      <c r="S13" s="243">
        <f t="shared" si="16"/>
        <v>69971.379231599989</v>
      </c>
      <c r="T13" s="243">
        <f t="shared" si="17"/>
        <v>114498.62056079999</v>
      </c>
      <c r="U13" s="243">
        <f t="shared" si="18"/>
        <v>173274.57911534395</v>
      </c>
      <c r="V13" s="246">
        <f t="shared" si="19"/>
        <v>491326.30289534392</v>
      </c>
      <c r="W13" s="243">
        <f t="shared" si="20"/>
        <v>139942.75846319998</v>
      </c>
      <c r="X13" s="243">
        <f t="shared" si="21"/>
        <v>232559.42042793598</v>
      </c>
      <c r="Y13" s="243">
        <f t="shared" si="22"/>
        <v>264364.59280593594</v>
      </c>
      <c r="Z13" s="313">
        <f t="shared" si="23"/>
        <v>39947.296506767998</v>
      </c>
      <c r="AA13" s="313">
        <f t="shared" si="24"/>
        <v>63737.565445511995</v>
      </c>
      <c r="AB13" s="852">
        <f t="shared" si="0"/>
        <v>909577.04173499509</v>
      </c>
      <c r="AC13" s="243">
        <f t="shared" si="25"/>
        <v>80042.779672679579</v>
      </c>
      <c r="AD13" s="246">
        <f t="shared" si="26"/>
        <v>989619.8214076747</v>
      </c>
      <c r="AE13" s="243">
        <f t="shared" si="27"/>
        <v>43659.698003279766</v>
      </c>
      <c r="AF13" s="246">
        <f t="shared" si="28"/>
        <v>1031187.4922149639</v>
      </c>
      <c r="AG13" s="243">
        <f t="shared" si="29"/>
        <v>90593.873356805518</v>
      </c>
      <c r="AH13" s="246">
        <f t="shared" si="30"/>
        <v>1168897.4563336421</v>
      </c>
      <c r="AI13" s="243">
        <f t="shared" si="31"/>
        <v>36383.081669399806</v>
      </c>
      <c r="AJ13" s="308"/>
      <c r="AK13" s="308"/>
      <c r="AL13" s="308"/>
      <c r="AM13" s="309"/>
    </row>
    <row r="14" spans="1:39" x14ac:dyDescent="0.25">
      <c r="A14" s="1396"/>
      <c r="B14" s="6" t="s">
        <v>12</v>
      </c>
      <c r="C14" s="139">
        <v>140726</v>
      </c>
      <c r="D14" s="141">
        <f t="shared" si="1"/>
        <v>164508.69399999999</v>
      </c>
      <c r="E14" s="137">
        <f t="shared" si="2"/>
        <v>197410.43279999998</v>
      </c>
      <c r="F14" s="136">
        <f t="shared" si="3"/>
        <v>213861.30219999998</v>
      </c>
      <c r="G14" s="240">
        <f t="shared" si="4"/>
        <v>24676.304099999998</v>
      </c>
      <c r="H14" s="240">
        <f t="shared" si="5"/>
        <v>49352.608199999995</v>
      </c>
      <c r="I14" s="247">
        <f t="shared" si="6"/>
        <v>263213.91039999999</v>
      </c>
      <c r="J14" s="240">
        <f t="shared" si="7"/>
        <v>16450.8694</v>
      </c>
      <c r="K14" s="240">
        <f t="shared" si="8"/>
        <v>32901.738799999999</v>
      </c>
      <c r="L14" s="243">
        <f t="shared" si="9"/>
        <v>64158.390659999997</v>
      </c>
      <c r="M14" s="243">
        <f t="shared" si="10"/>
        <v>16121.852011999999</v>
      </c>
      <c r="N14" s="244">
        <f t="shared" si="11"/>
        <v>343494.15307199996</v>
      </c>
      <c r="O14" s="245">
        <f t="shared" si="12"/>
        <v>37784.356837920001</v>
      </c>
      <c r="P14" s="243">
        <f t="shared" si="13"/>
        <v>85873.538267999975</v>
      </c>
      <c r="Q14" s="246">
        <f t="shared" si="14"/>
        <v>429367.6913399999</v>
      </c>
      <c r="R14" s="243">
        <f t="shared" si="15"/>
        <v>51524.122960799999</v>
      </c>
      <c r="S14" s="243">
        <f t="shared" si="16"/>
        <v>94460.892094799987</v>
      </c>
      <c r="T14" s="243">
        <f t="shared" si="17"/>
        <v>154572.36888239998</v>
      </c>
      <c r="U14" s="243">
        <f t="shared" si="18"/>
        <v>233919.51824203198</v>
      </c>
      <c r="V14" s="246">
        <f t="shared" si="19"/>
        <v>663287.20958203194</v>
      </c>
      <c r="W14" s="243">
        <f t="shared" si="20"/>
        <v>188921.78418959997</v>
      </c>
      <c r="X14" s="243">
        <f t="shared" si="21"/>
        <v>313953.65590780799</v>
      </c>
      <c r="Y14" s="243">
        <f t="shared" si="22"/>
        <v>356890.42504180799</v>
      </c>
      <c r="Z14" s="313">
        <f t="shared" si="23"/>
        <v>53928.582032303988</v>
      </c>
      <c r="AA14" s="313">
        <f t="shared" si="24"/>
        <v>86045.285344535994</v>
      </c>
      <c r="AB14" s="852">
        <f t="shared" si="0"/>
        <v>1227922.8984017854</v>
      </c>
      <c r="AC14" s="243">
        <f t="shared" si="25"/>
        <v>108057.21505935711</v>
      </c>
      <c r="AD14" s="246">
        <f t="shared" si="26"/>
        <v>1335980.1134611424</v>
      </c>
      <c r="AE14" s="243">
        <f t="shared" si="27"/>
        <v>58940.299123285702</v>
      </c>
      <c r="AF14" s="246">
        <f t="shared" si="28"/>
        <v>1392096.1899181041</v>
      </c>
      <c r="AG14" s="243">
        <f t="shared" si="29"/>
        <v>122301.12068081782</v>
      </c>
      <c r="AH14" s="246">
        <f t="shared" si="30"/>
        <v>1578003.7167361344</v>
      </c>
      <c r="AI14" s="243">
        <f t="shared" si="31"/>
        <v>49116.915936071418</v>
      </c>
      <c r="AJ14" s="308"/>
      <c r="AK14" s="308"/>
      <c r="AL14" s="308"/>
      <c r="AM14" s="309"/>
    </row>
    <row r="15" spans="1:39" ht="15.75" thickBot="1" x14ac:dyDescent="0.3">
      <c r="A15" s="1417"/>
      <c r="B15" s="5" t="s">
        <v>13</v>
      </c>
      <c r="C15" s="140">
        <v>129256</v>
      </c>
      <c r="D15" s="142">
        <f t="shared" si="1"/>
        <v>151100.264</v>
      </c>
      <c r="E15" s="8">
        <f t="shared" si="2"/>
        <v>181320.3168</v>
      </c>
      <c r="F15" s="7">
        <f t="shared" si="3"/>
        <v>196430.3432</v>
      </c>
      <c r="G15" s="248">
        <f t="shared" si="4"/>
        <v>22665.0396</v>
      </c>
      <c r="H15" s="248">
        <f t="shared" si="5"/>
        <v>45330.0792</v>
      </c>
      <c r="I15" s="249">
        <f t="shared" si="6"/>
        <v>241760.42239999998</v>
      </c>
      <c r="J15" s="248">
        <f t="shared" si="7"/>
        <v>15110.026399999999</v>
      </c>
      <c r="K15" s="248">
        <f t="shared" si="8"/>
        <v>30220.052799999998</v>
      </c>
      <c r="L15" s="250">
        <f t="shared" si="9"/>
        <v>58929.102960000004</v>
      </c>
      <c r="M15" s="250">
        <f t="shared" si="10"/>
        <v>14807.825871999999</v>
      </c>
      <c r="N15" s="251">
        <f t="shared" si="11"/>
        <v>315497.35123199999</v>
      </c>
      <c r="O15" s="252">
        <f t="shared" si="12"/>
        <v>34704.708635520001</v>
      </c>
      <c r="P15" s="250">
        <f t="shared" si="13"/>
        <v>78874.337807999997</v>
      </c>
      <c r="Q15" s="253">
        <f t="shared" si="14"/>
        <v>394371.68903999997</v>
      </c>
      <c r="R15" s="250">
        <f t="shared" si="15"/>
        <v>47324.602684800004</v>
      </c>
      <c r="S15" s="250">
        <f t="shared" si="16"/>
        <v>86761.771588799995</v>
      </c>
      <c r="T15" s="250">
        <f t="shared" si="17"/>
        <v>141973.8080544</v>
      </c>
      <c r="U15" s="250">
        <f t="shared" si="18"/>
        <v>214853.69618899198</v>
      </c>
      <c r="V15" s="253">
        <f t="shared" si="19"/>
        <v>609225.38522899197</v>
      </c>
      <c r="W15" s="250">
        <f t="shared" si="20"/>
        <v>173523.54317759999</v>
      </c>
      <c r="X15" s="250">
        <f t="shared" si="21"/>
        <v>288364.57902604801</v>
      </c>
      <c r="Y15" s="250">
        <f t="shared" si="22"/>
        <v>327801.74793004798</v>
      </c>
      <c r="Z15" s="314">
        <f t="shared" si="23"/>
        <v>49533.084143423999</v>
      </c>
      <c r="AA15" s="314">
        <f t="shared" si="24"/>
        <v>79032.086483616004</v>
      </c>
      <c r="AB15" s="853">
        <f t="shared" si="0"/>
        <v>1127839.9311841535</v>
      </c>
      <c r="AC15" s="250">
        <f>AB15*8.8/100</f>
        <v>99249.913944205517</v>
      </c>
      <c r="AD15" s="253">
        <f t="shared" si="26"/>
        <v>1227089.845128359</v>
      </c>
      <c r="AE15" s="250">
        <f t="shared" si="27"/>
        <v>54136.316696839371</v>
      </c>
      <c r="AF15" s="253">
        <f t="shared" si="28"/>
        <v>1278632.129983475</v>
      </c>
      <c r="AG15" s="250">
        <f t="shared" si="29"/>
        <v>112332.8571459417</v>
      </c>
      <c r="AH15" s="253">
        <f t="shared" si="30"/>
        <v>1449387.0955647556</v>
      </c>
      <c r="AI15" s="250">
        <f t="shared" si="31"/>
        <v>45113.597247366139</v>
      </c>
      <c r="AJ15" s="850"/>
      <c r="AK15" s="850"/>
      <c r="AL15" s="850"/>
      <c r="AM15" s="310"/>
    </row>
    <row r="16" spans="1:39" ht="15.75" thickBot="1" x14ac:dyDescent="0.3">
      <c r="A16" s="1423"/>
      <c r="B16" s="1423"/>
      <c r="C16" s="1423"/>
      <c r="D16" s="1423"/>
      <c r="E16" s="1423"/>
      <c r="F16" s="1423"/>
      <c r="G16" s="1423"/>
      <c r="H16" s="1423"/>
      <c r="I16" s="1423"/>
      <c r="J16" s="1423"/>
      <c r="K16" s="1423"/>
      <c r="L16" s="1423"/>
      <c r="M16" s="1423"/>
      <c r="N16" s="1423"/>
      <c r="O16" s="1423"/>
      <c r="P16" s="1423"/>
      <c r="Q16" s="1423"/>
      <c r="R16" s="1423"/>
      <c r="S16" s="1423"/>
      <c r="T16" s="1423"/>
      <c r="U16" s="1423"/>
      <c r="V16" s="1423"/>
      <c r="W16" s="1423"/>
      <c r="X16" s="1423"/>
      <c r="Y16" s="1423"/>
      <c r="Z16" s="1423"/>
      <c r="AA16" s="1423"/>
      <c r="AB16" s="1423"/>
    </row>
    <row r="17" spans="1:39" ht="15.75" thickBot="1" x14ac:dyDescent="0.3">
      <c r="A17" s="1394" t="s">
        <v>77</v>
      </c>
      <c r="B17" s="1395"/>
      <c r="C17" s="9">
        <v>906</v>
      </c>
      <c r="D17" s="10">
        <v>1060</v>
      </c>
      <c r="E17" s="9">
        <f>(D17*20)/100+D17</f>
        <v>1272</v>
      </c>
      <c r="F17" s="10">
        <f>(D17*30)/100+D17</f>
        <v>1378</v>
      </c>
      <c r="G17" s="254">
        <f>D17*15/100</f>
        <v>159</v>
      </c>
      <c r="H17" s="254">
        <f>D17*30/100</f>
        <v>318</v>
      </c>
      <c r="I17" s="255">
        <f>D17*60/100+D17</f>
        <v>1696</v>
      </c>
      <c r="J17" s="254">
        <f>D17*10/100</f>
        <v>106</v>
      </c>
      <c r="K17" s="254">
        <f>D17*20/100</f>
        <v>212</v>
      </c>
      <c r="L17" s="256">
        <f>D17*39/100</f>
        <v>413.4</v>
      </c>
      <c r="M17" s="256">
        <f>D17*9.8/100</f>
        <v>103.88</v>
      </c>
      <c r="N17" s="257">
        <f>D17*108.8/100+D17</f>
        <v>2213.2799999999997</v>
      </c>
      <c r="O17" s="258">
        <f>N17*11/100+N17</f>
        <v>2456.7407999999996</v>
      </c>
      <c r="P17" s="259">
        <f>N17*25/100+N17</f>
        <v>2766.5999999999995</v>
      </c>
      <c r="Q17" s="259">
        <f>N17*25/100+N17</f>
        <v>2766.5999999999995</v>
      </c>
      <c r="R17" s="259">
        <f>N17*40/100+N17</f>
        <v>3098.5919999999996</v>
      </c>
      <c r="S17" s="259">
        <f>N17*52.5/100+N17</f>
        <v>3375.2519999999995</v>
      </c>
      <c r="T17" s="259">
        <f>N17*70/100+N17</f>
        <v>3762.5759999999996</v>
      </c>
      <c r="U17" s="259">
        <f>N17*93.1/100+N17</f>
        <v>4273.8436799999999</v>
      </c>
      <c r="V17" s="270">
        <f>N17*93.1/100+N17</f>
        <v>4273.8436799999999</v>
      </c>
      <c r="W17" s="271">
        <f>N17*55/100</f>
        <v>1217.3039999999999</v>
      </c>
      <c r="X17" s="271">
        <f>N17*91.4/100</f>
        <v>2022.9379199999998</v>
      </c>
      <c r="Y17" s="256">
        <f>N17*103.9/100</f>
        <v>2299.5979199999997</v>
      </c>
      <c r="Z17" s="315">
        <f>N17*15.7/100</f>
        <v>347.48495999999994</v>
      </c>
      <c r="AA17" s="315">
        <f>N17*25.05/100</f>
        <v>554.42664000000002</v>
      </c>
      <c r="AB17" s="846">
        <f>N17*257.48/100+N17</f>
        <v>7912.0333439999995</v>
      </c>
      <c r="AC17" s="256">
        <f>AB17*8.8/100</f>
        <v>696.25893427200003</v>
      </c>
      <c r="AD17" s="341">
        <f>AB17*8.8/100+AB17</f>
        <v>8608.2922782719997</v>
      </c>
      <c r="AE17" s="256">
        <f>AB17*4.57/100</f>
        <v>361.57992382080005</v>
      </c>
      <c r="AF17" s="341">
        <f>AB17*13.37/100+AB17</f>
        <v>8969.8722020927999</v>
      </c>
      <c r="AG17" s="271">
        <f>AB17*9.96/100</f>
        <v>788.03852106239992</v>
      </c>
      <c r="AH17" s="854">
        <v>10164</v>
      </c>
      <c r="AI17" s="341">
        <f>AB17*32.51/100+AB17</f>
        <v>10484.235384134399</v>
      </c>
      <c r="AJ17" s="349"/>
      <c r="AK17" s="349"/>
      <c r="AL17" s="349"/>
      <c r="AM17" s="268"/>
    </row>
    <row r="18" spans="1:39" ht="15.75" thickBot="1" x14ac:dyDescent="0.3">
      <c r="A18" s="1399" t="s">
        <v>15</v>
      </c>
      <c r="B18" s="1400"/>
      <c r="C18" s="143">
        <v>9941</v>
      </c>
      <c r="D18" s="123">
        <f t="shared" ref="D18:D21" si="32">(C18*16.9)/100+C18</f>
        <v>11621.029</v>
      </c>
      <c r="E18" s="143">
        <f t="shared" ref="E18:E21" si="33">(D18*20)/100+D18</f>
        <v>13945.2348</v>
      </c>
      <c r="F18" s="123">
        <f t="shared" ref="F18:F21" si="34">(D18*30)/100+D18</f>
        <v>15107.3377</v>
      </c>
      <c r="G18" s="240">
        <f t="shared" ref="G18:G20" si="35">D18*15/100</f>
        <v>1743.15435</v>
      </c>
      <c r="H18" s="240">
        <f t="shared" ref="H18:H20" si="36">D18*30/100</f>
        <v>3486.3087</v>
      </c>
      <c r="I18" s="247">
        <f t="shared" ref="I18:I20" si="37">D18*60/100+D18</f>
        <v>18593.646400000001</v>
      </c>
      <c r="J18" s="240">
        <f t="shared" ref="J18:J20" si="38">D18*10/100</f>
        <v>1162.1029000000001</v>
      </c>
      <c r="K18" s="240">
        <f t="shared" ref="K18:K20" si="39">D18*20/100</f>
        <v>2324.2058000000002</v>
      </c>
      <c r="L18" s="260">
        <f t="shared" ref="L18:L21" si="40">D18*39/100</f>
        <v>4532.2013100000004</v>
      </c>
      <c r="M18" s="260">
        <f t="shared" ref="M18:M21" si="41">D18*9.8/100</f>
        <v>1138.860842</v>
      </c>
      <c r="N18" s="261">
        <v>24266</v>
      </c>
      <c r="O18" s="264">
        <f t="shared" ref="O18:O22" si="42">N18*11/100+N18</f>
        <v>26935.260000000002</v>
      </c>
      <c r="P18" s="301">
        <f t="shared" ref="P18:P22" si="43">N18*25/100+N18</f>
        <v>30332.5</v>
      </c>
      <c r="Q18" s="301">
        <v>30332</v>
      </c>
      <c r="R18" s="301">
        <f t="shared" ref="R18:R22" si="44">N18*40/100+N18</f>
        <v>33972.400000000001</v>
      </c>
      <c r="S18" s="301">
        <f t="shared" ref="S18:S22" si="45">N18*52.5/100+N18</f>
        <v>37005.65</v>
      </c>
      <c r="T18" s="301">
        <f t="shared" ref="T18:T22" si="46">N18*70/100+N18</f>
        <v>41252.199999999997</v>
      </c>
      <c r="U18" s="301">
        <f t="shared" ref="U18:U22" si="47">N18*93.1/100+N18</f>
        <v>46857.646000000001</v>
      </c>
      <c r="V18" s="1410">
        <f>N18*148.1/100+N18</f>
        <v>60203.946000000004</v>
      </c>
      <c r="W18" s="1410"/>
      <c r="X18" s="301">
        <f>N18*184.5/100+N18</f>
        <v>69036.76999999999</v>
      </c>
      <c r="Y18" s="301">
        <f>N18*197/100+N18</f>
        <v>72070.01999999999</v>
      </c>
      <c r="Z18" s="316"/>
      <c r="AA18" s="316"/>
      <c r="AB18" s="847">
        <f t="shared" ref="AB18:AB22" si="48">N18*257.48/100+N18</f>
        <v>86746.096799999999</v>
      </c>
      <c r="AC18" s="845">
        <f t="shared" ref="AC18:AC22" si="49">AB18*8.8/100+AB18</f>
        <v>94379.753318400006</v>
      </c>
      <c r="AD18" s="1413">
        <f>AB18*4.57/100+AC18</f>
        <v>98344.049942160011</v>
      </c>
      <c r="AE18" s="1413"/>
      <c r="AF18" s="845">
        <f t="shared" ref="AF18:AF22" si="50">AB18*13.37/100+AB18</f>
        <v>98344.049942159996</v>
      </c>
      <c r="AG18" s="1386">
        <f>AB18*28.51/100+AB18</f>
        <v>111477.40899768</v>
      </c>
      <c r="AH18" s="1387"/>
      <c r="AI18" s="341">
        <f t="shared" ref="AI18:AI22" si="51">AB18*32.51/100+AB18</f>
        <v>114947.25286968</v>
      </c>
      <c r="AJ18" s="308"/>
      <c r="AK18" s="308"/>
      <c r="AL18" s="308"/>
      <c r="AM18" s="309"/>
    </row>
    <row r="19" spans="1:39" ht="15.75" thickBot="1" x14ac:dyDescent="0.3">
      <c r="A19" s="1399" t="s">
        <v>162</v>
      </c>
      <c r="B19" s="1400"/>
      <c r="C19" s="143">
        <v>6213</v>
      </c>
      <c r="D19" s="123">
        <f t="shared" si="32"/>
        <v>7262.9970000000003</v>
      </c>
      <c r="E19" s="143">
        <f t="shared" si="33"/>
        <v>8715.5964000000004</v>
      </c>
      <c r="F19" s="123">
        <f t="shared" si="34"/>
        <v>9441.8960999999999</v>
      </c>
      <c r="G19" s="240">
        <f t="shared" si="35"/>
        <v>1089.44955</v>
      </c>
      <c r="H19" s="240">
        <f t="shared" si="36"/>
        <v>2178.8991000000001</v>
      </c>
      <c r="I19" s="247">
        <f t="shared" si="37"/>
        <v>11620.7952</v>
      </c>
      <c r="J19" s="240">
        <f t="shared" si="38"/>
        <v>726.29970000000003</v>
      </c>
      <c r="K19" s="240">
        <f t="shared" si="39"/>
        <v>1452.5994000000001</v>
      </c>
      <c r="L19" s="260">
        <f t="shared" si="40"/>
        <v>2832.5688300000002</v>
      </c>
      <c r="M19" s="260">
        <f t="shared" si="41"/>
        <v>711.77370600000006</v>
      </c>
      <c r="N19" s="261">
        <v>15166</v>
      </c>
      <c r="O19" s="264">
        <f t="shared" si="42"/>
        <v>16834.259999999998</v>
      </c>
      <c r="P19" s="301">
        <f t="shared" si="43"/>
        <v>18957.5</v>
      </c>
      <c r="Q19" s="301">
        <f t="shared" ref="Q19:Q22" si="52">N19*25/100+N19</f>
        <v>18957.5</v>
      </c>
      <c r="R19" s="301">
        <f t="shared" si="44"/>
        <v>21232.400000000001</v>
      </c>
      <c r="S19" s="301">
        <f t="shared" si="45"/>
        <v>23128.15</v>
      </c>
      <c r="T19" s="301">
        <f t="shared" si="46"/>
        <v>25782.2</v>
      </c>
      <c r="U19" s="301">
        <f t="shared" si="47"/>
        <v>29285.545999999998</v>
      </c>
      <c r="V19" s="1410">
        <f t="shared" ref="V19:V22" si="53">N19*148.1/100+N19</f>
        <v>37626.846000000005</v>
      </c>
      <c r="W19" s="1410"/>
      <c r="X19" s="301">
        <f t="shared" ref="X19:X22" si="54">N19*184.5/100+N19</f>
        <v>43147.270000000004</v>
      </c>
      <c r="Y19" s="301">
        <f t="shared" ref="Y19:Y22" si="55">N19*197/100+N19</f>
        <v>45043.020000000004</v>
      </c>
      <c r="Z19" s="316"/>
      <c r="AA19" s="316"/>
      <c r="AB19" s="847">
        <f t="shared" si="48"/>
        <v>54215.416799999999</v>
      </c>
      <c r="AC19" s="845">
        <f t="shared" si="49"/>
        <v>58986.373478399997</v>
      </c>
      <c r="AD19" s="1413">
        <f t="shared" ref="AD19:AD22" si="56">AB19*4.57/100+AC19</f>
        <v>61464.018026159996</v>
      </c>
      <c r="AE19" s="1413"/>
      <c r="AF19" s="845">
        <f t="shared" si="50"/>
        <v>61464.018026159996</v>
      </c>
      <c r="AG19" s="1386">
        <f t="shared" ref="AG19:AG22" si="57">AB19*28.51/100+AB19</f>
        <v>69672.232129679993</v>
      </c>
      <c r="AH19" s="1387"/>
      <c r="AI19" s="341">
        <f t="shared" si="51"/>
        <v>71840.848801679997</v>
      </c>
      <c r="AJ19" s="308"/>
      <c r="AK19" s="308"/>
      <c r="AL19" s="308"/>
      <c r="AM19" s="309"/>
    </row>
    <row r="20" spans="1:39" ht="15.75" thickBot="1" x14ac:dyDescent="0.3">
      <c r="A20" s="1399" t="s">
        <v>163</v>
      </c>
      <c r="B20" s="1400"/>
      <c r="C20" s="143">
        <v>25244</v>
      </c>
      <c r="D20" s="123">
        <f t="shared" si="32"/>
        <v>29510.236000000001</v>
      </c>
      <c r="E20" s="143">
        <f t="shared" si="33"/>
        <v>35412.283199999998</v>
      </c>
      <c r="F20" s="123">
        <f t="shared" si="34"/>
        <v>38363.306800000006</v>
      </c>
      <c r="G20" s="240">
        <f t="shared" si="35"/>
        <v>4426.5354000000007</v>
      </c>
      <c r="H20" s="240">
        <f t="shared" si="36"/>
        <v>8853.0708000000013</v>
      </c>
      <c r="I20" s="247">
        <f t="shared" si="37"/>
        <v>47216.377600000007</v>
      </c>
      <c r="J20" s="240">
        <f t="shared" si="38"/>
        <v>2951.0236</v>
      </c>
      <c r="K20" s="240">
        <f t="shared" si="39"/>
        <v>5902.0472</v>
      </c>
      <c r="L20" s="260">
        <f t="shared" si="40"/>
        <v>11508.992040000001</v>
      </c>
      <c r="M20" s="260">
        <f t="shared" si="41"/>
        <v>2892.0031280000003</v>
      </c>
      <c r="N20" s="261">
        <v>61620</v>
      </c>
      <c r="O20" s="264">
        <f t="shared" si="42"/>
        <v>68398.2</v>
      </c>
      <c r="P20" s="301">
        <f t="shared" si="43"/>
        <v>77025</v>
      </c>
      <c r="Q20" s="301">
        <f t="shared" si="52"/>
        <v>77025</v>
      </c>
      <c r="R20" s="301">
        <f t="shared" si="44"/>
        <v>86268</v>
      </c>
      <c r="S20" s="301">
        <f t="shared" si="45"/>
        <v>93970.5</v>
      </c>
      <c r="T20" s="301">
        <f t="shared" si="46"/>
        <v>104754</v>
      </c>
      <c r="U20" s="301">
        <f t="shared" si="47"/>
        <v>118988.22</v>
      </c>
      <c r="V20" s="1410">
        <f t="shared" si="53"/>
        <v>152879.22</v>
      </c>
      <c r="W20" s="1410"/>
      <c r="X20" s="301">
        <f t="shared" si="54"/>
        <v>175308.9</v>
      </c>
      <c r="Y20" s="301">
        <f t="shared" si="55"/>
        <v>183011.4</v>
      </c>
      <c r="Z20" s="316"/>
      <c r="AA20" s="316"/>
      <c r="AB20" s="847">
        <f t="shared" si="48"/>
        <v>220279.17600000001</v>
      </c>
      <c r="AC20" s="845">
        <f t="shared" si="49"/>
        <v>239663.74348800001</v>
      </c>
      <c r="AD20" s="1413">
        <f t="shared" si="56"/>
        <v>249730.5018312</v>
      </c>
      <c r="AE20" s="1413"/>
      <c r="AF20" s="845">
        <f t="shared" si="50"/>
        <v>249730.5018312</v>
      </c>
      <c r="AG20" s="1386">
        <f t="shared" si="57"/>
        <v>283080.76907759998</v>
      </c>
      <c r="AH20" s="1387"/>
      <c r="AI20" s="341">
        <f t="shared" si="51"/>
        <v>291891.93611760001</v>
      </c>
      <c r="AJ20" s="308"/>
      <c r="AK20" s="308"/>
      <c r="AL20" s="308"/>
      <c r="AM20" s="309"/>
    </row>
    <row r="21" spans="1:39" ht="15.75" thickBot="1" x14ac:dyDescent="0.3">
      <c r="A21" s="1399" t="s">
        <v>164</v>
      </c>
      <c r="B21" s="1400"/>
      <c r="C21" s="143">
        <v>1366</v>
      </c>
      <c r="D21" s="123">
        <f t="shared" si="32"/>
        <v>1596.854</v>
      </c>
      <c r="E21" s="143">
        <f t="shared" si="33"/>
        <v>1916.2248</v>
      </c>
      <c r="F21" s="123">
        <f t="shared" si="34"/>
        <v>2075.9102000000003</v>
      </c>
      <c r="G21" s="247">
        <f>D21*80/100+D21</f>
        <v>2874.3371999999999</v>
      </c>
      <c r="H21" s="247">
        <v>2872.2329999999997</v>
      </c>
      <c r="I21" s="247">
        <v>2872.2329999999997</v>
      </c>
      <c r="J21" s="247">
        <v>2872.2329999999997</v>
      </c>
      <c r="K21" s="247">
        <v>2872</v>
      </c>
      <c r="L21" s="260">
        <f t="shared" si="40"/>
        <v>622.77305999999999</v>
      </c>
      <c r="M21" s="260">
        <f t="shared" si="41"/>
        <v>156.49169200000003</v>
      </c>
      <c r="N21" s="261">
        <f t="shared" ref="N21" si="58">D21*108.8/100+D21</f>
        <v>3334.2311520000003</v>
      </c>
      <c r="O21" s="264">
        <f t="shared" si="42"/>
        <v>3700.9965787200003</v>
      </c>
      <c r="P21" s="301">
        <f t="shared" si="43"/>
        <v>4167.7889400000004</v>
      </c>
      <c r="Q21" s="301">
        <v>6919</v>
      </c>
      <c r="R21" s="301">
        <v>6919</v>
      </c>
      <c r="S21" s="301">
        <v>6919</v>
      </c>
      <c r="T21" s="301">
        <v>7421</v>
      </c>
      <c r="U21" s="301">
        <v>7421</v>
      </c>
      <c r="V21" s="1410">
        <v>9184</v>
      </c>
      <c r="W21" s="1410"/>
      <c r="X21" s="301">
        <v>10396</v>
      </c>
      <c r="Y21" s="301">
        <v>10396</v>
      </c>
      <c r="Z21" s="321">
        <f>N21*15.7/100</f>
        <v>523.47429086399995</v>
      </c>
      <c r="AA21" s="321">
        <f>N21*25.05/100</f>
        <v>835.22490357600009</v>
      </c>
      <c r="AB21" s="847">
        <f>N21*257.48/100+N21</f>
        <v>11919.209522169602</v>
      </c>
      <c r="AC21" s="845">
        <f t="shared" si="49"/>
        <v>12968.099960120526</v>
      </c>
      <c r="AD21" s="1413">
        <f t="shared" si="56"/>
        <v>13512.807835283676</v>
      </c>
      <c r="AE21" s="1413"/>
      <c r="AF21" s="845">
        <f t="shared" si="50"/>
        <v>13512.807835283678</v>
      </c>
      <c r="AG21" s="1386">
        <v>15307</v>
      </c>
      <c r="AH21" s="1387"/>
      <c r="AI21" s="341">
        <f t="shared" si="51"/>
        <v>15794.144537826938</v>
      </c>
      <c r="AJ21" s="308"/>
      <c r="AK21" s="308"/>
      <c r="AL21" s="308"/>
      <c r="AM21" s="309"/>
    </row>
    <row r="22" spans="1:39" ht="15.75" thickBot="1" x14ac:dyDescent="0.3">
      <c r="A22" s="1418" t="s">
        <v>256</v>
      </c>
      <c r="B22" s="1419"/>
      <c r="C22" s="11">
        <v>5592</v>
      </c>
      <c r="D22" s="12">
        <f>(C22*10)/100+C22</f>
        <v>6151.2</v>
      </c>
      <c r="E22" s="11">
        <f>(C22*20)/100+C22</f>
        <v>6710.4</v>
      </c>
      <c r="F22" s="12">
        <f>(C22*30)/100+C22</f>
        <v>7269.6</v>
      </c>
      <c r="G22" s="249">
        <f>C22*15/100+F22</f>
        <v>8108.4000000000005</v>
      </c>
      <c r="H22" s="249">
        <f>C22*15/100+G22</f>
        <v>8947.2000000000007</v>
      </c>
      <c r="I22" s="247">
        <f>C22*60/100+C22</f>
        <v>8947.2000000000007</v>
      </c>
      <c r="J22" s="247">
        <f>(C22*10/100)+I22</f>
        <v>9506.4000000000015</v>
      </c>
      <c r="K22" s="247">
        <f>C22*10/100+J22</f>
        <v>10065.600000000002</v>
      </c>
      <c r="L22" s="247">
        <f>C22*19/100+K22</f>
        <v>11128.080000000002</v>
      </c>
      <c r="M22" s="247">
        <f>C22*9.8/100+L22</f>
        <v>11676.096000000001</v>
      </c>
      <c r="N22" s="262">
        <v>11676</v>
      </c>
      <c r="O22" s="265">
        <f t="shared" si="42"/>
        <v>12960.36</v>
      </c>
      <c r="P22" s="300">
        <f t="shared" si="43"/>
        <v>14595</v>
      </c>
      <c r="Q22" s="300">
        <f t="shared" si="52"/>
        <v>14595</v>
      </c>
      <c r="R22" s="300">
        <f t="shared" si="44"/>
        <v>16346.4</v>
      </c>
      <c r="S22" s="300">
        <f t="shared" si="45"/>
        <v>17805.900000000001</v>
      </c>
      <c r="T22" s="300">
        <f t="shared" si="46"/>
        <v>19849.2</v>
      </c>
      <c r="U22" s="300">
        <f t="shared" si="47"/>
        <v>22546.356</v>
      </c>
      <c r="V22" s="1406">
        <f t="shared" si="53"/>
        <v>28968.155999999999</v>
      </c>
      <c r="W22" s="1406"/>
      <c r="X22" s="300">
        <f t="shared" si="54"/>
        <v>33218.22</v>
      </c>
      <c r="Y22" s="300">
        <f t="shared" si="55"/>
        <v>34677.72</v>
      </c>
      <c r="Z22" s="317"/>
      <c r="AA22" s="317"/>
      <c r="AB22" s="848">
        <f t="shared" si="48"/>
        <v>41739.364799999996</v>
      </c>
      <c r="AC22" s="849">
        <f t="shared" si="49"/>
        <v>45412.428902399995</v>
      </c>
      <c r="AD22" s="1412">
        <f t="shared" si="56"/>
        <v>47319.917873759994</v>
      </c>
      <c r="AE22" s="1412"/>
      <c r="AF22" s="849">
        <f t="shared" si="50"/>
        <v>47319.917873759994</v>
      </c>
      <c r="AG22" s="1384">
        <f t="shared" si="57"/>
        <v>53639.257704479998</v>
      </c>
      <c r="AH22" s="1385"/>
      <c r="AI22" s="855">
        <f t="shared" si="51"/>
        <v>55308.832296479995</v>
      </c>
      <c r="AJ22" s="850"/>
      <c r="AK22" s="850"/>
      <c r="AL22" s="850"/>
      <c r="AM22" s="310"/>
    </row>
    <row r="23" spans="1:39" ht="15.75" thickBot="1" x14ac:dyDescent="0.3">
      <c r="A23" s="263"/>
      <c r="B23" s="263"/>
      <c r="C23" s="263"/>
      <c r="D23" s="263"/>
      <c r="E23" s="263"/>
      <c r="F23" s="263"/>
    </row>
    <row r="24" spans="1:39" x14ac:dyDescent="0.25">
      <c r="A24" s="1401" t="s">
        <v>168</v>
      </c>
      <c r="B24" s="1402"/>
      <c r="C24" s="1402"/>
      <c r="D24" s="1402"/>
      <c r="E24" s="1403"/>
      <c r="F24" s="263"/>
    </row>
    <row r="25" spans="1:39" ht="15.75" thickBot="1" x14ac:dyDescent="0.3">
      <c r="A25" s="1420" t="s">
        <v>169</v>
      </c>
      <c r="B25" s="1421"/>
      <c r="C25" s="1421"/>
      <c r="D25" s="1421"/>
      <c r="E25" s="1422"/>
      <c r="F25" s="263"/>
    </row>
    <row r="26" spans="1:39" ht="15.75" thickBot="1" x14ac:dyDescent="0.3"/>
    <row r="27" spans="1:39" ht="21.75" thickBot="1" x14ac:dyDescent="0.4">
      <c r="A27" s="1082" t="s">
        <v>81</v>
      </c>
      <c r="B27" s="1083"/>
      <c r="C27" s="1084"/>
      <c r="D27" s="1076" t="s">
        <v>81</v>
      </c>
      <c r="E27" s="1077"/>
      <c r="F27" s="1078"/>
      <c r="G27" s="1042" t="s">
        <v>81</v>
      </c>
      <c r="H27" s="1043"/>
      <c r="I27" s="1043"/>
      <c r="J27" s="1043"/>
      <c r="K27" s="1046" t="s">
        <v>81</v>
      </c>
      <c r="L27" s="1047"/>
      <c r="M27" s="1047"/>
      <c r="N27" s="1047"/>
      <c r="O27" s="1047"/>
      <c r="P27" s="1047"/>
      <c r="Q27" s="1047"/>
      <c r="R27" s="1048"/>
      <c r="S27" s="1049" t="s">
        <v>288</v>
      </c>
      <c r="T27" s="1196" t="s">
        <v>297</v>
      </c>
      <c r="U27" s="1197"/>
      <c r="V27" s="1197"/>
      <c r="W27" s="1197"/>
      <c r="X27" s="1197"/>
      <c r="Y27" s="1197"/>
    </row>
    <row r="28" spans="1:39" ht="15.75" thickBot="1" x14ac:dyDescent="0.3">
      <c r="A28" s="282" t="s">
        <v>82</v>
      </c>
      <c r="B28" s="283">
        <v>2019</v>
      </c>
      <c r="C28" s="284">
        <v>2020</v>
      </c>
      <c r="D28" s="1079">
        <v>2021</v>
      </c>
      <c r="E28" s="1080"/>
      <c r="F28" s="1081"/>
      <c r="G28" s="1006">
        <v>2022</v>
      </c>
      <c r="H28" s="1007"/>
      <c r="I28" s="1007"/>
      <c r="J28" s="1007"/>
      <c r="K28" s="1051">
        <v>2023</v>
      </c>
      <c r="L28" s="1052"/>
      <c r="M28" s="1052"/>
      <c r="N28" s="1052"/>
      <c r="O28" s="1052"/>
      <c r="P28" s="1052"/>
      <c r="Q28" s="1052"/>
      <c r="R28" s="1053"/>
      <c r="S28" s="1050"/>
      <c r="T28" s="1198">
        <v>2024</v>
      </c>
      <c r="U28" s="1199"/>
      <c r="V28" s="1199"/>
      <c r="W28" s="1199"/>
      <c r="X28" s="1199"/>
      <c r="Y28" s="1199"/>
    </row>
    <row r="29" spans="1:39" x14ac:dyDescent="0.25">
      <c r="A29" s="153" t="s">
        <v>83</v>
      </c>
      <c r="B29" s="154"/>
      <c r="C29" s="155"/>
      <c r="D29" s="285">
        <v>44378</v>
      </c>
      <c r="E29" s="286">
        <v>44774</v>
      </c>
      <c r="F29" s="335" t="s">
        <v>86</v>
      </c>
      <c r="G29" s="156">
        <v>44774</v>
      </c>
      <c r="H29" s="157">
        <v>44927</v>
      </c>
      <c r="I29" s="158">
        <v>45047</v>
      </c>
      <c r="J29" s="181" t="s">
        <v>236</v>
      </c>
      <c r="K29" s="322">
        <v>45047</v>
      </c>
      <c r="L29" s="336">
        <v>45139</v>
      </c>
      <c r="M29" s="336">
        <v>45231</v>
      </c>
      <c r="N29" s="336">
        <v>45261</v>
      </c>
      <c r="O29" s="1041">
        <v>45292</v>
      </c>
      <c r="P29" s="1041"/>
      <c r="Q29" s="336">
        <v>45323</v>
      </c>
      <c r="R29" s="323">
        <v>45383</v>
      </c>
      <c r="S29" s="1054">
        <v>478309</v>
      </c>
      <c r="T29" s="331" t="s">
        <v>298</v>
      </c>
      <c r="U29" s="330" t="s">
        <v>305</v>
      </c>
      <c r="V29" s="330" t="s">
        <v>340</v>
      </c>
      <c r="W29" s="330"/>
      <c r="X29" s="330"/>
      <c r="Y29" s="330"/>
    </row>
    <row r="30" spans="1:39" ht="15.75" thickBot="1" x14ac:dyDescent="0.3">
      <c r="A30" s="144" t="s">
        <v>84</v>
      </c>
      <c r="B30" s="145">
        <v>28000</v>
      </c>
      <c r="C30" s="146">
        <v>40600</v>
      </c>
      <c r="D30" s="287">
        <v>54800</v>
      </c>
      <c r="E30" s="288">
        <v>9267</v>
      </c>
      <c r="F30" s="289">
        <f>D30+E30</f>
        <v>64067</v>
      </c>
      <c r="G30" s="147">
        <f>(F30*30/100+F30)</f>
        <v>83287.100000000006</v>
      </c>
      <c r="H30" s="145">
        <f>F30*50/100</f>
        <v>32033.5</v>
      </c>
      <c r="I30" s="159">
        <f>F30*28.8/100</f>
        <v>18451.296000000002</v>
      </c>
      <c r="J30" s="182">
        <f>G30+H30+I30</f>
        <v>133771.89600000001</v>
      </c>
      <c r="K30" s="324">
        <f>J30*25/100+J30</f>
        <v>167214.87</v>
      </c>
      <c r="L30" s="326">
        <f>J30*82.5/100</f>
        <v>110361.81419999999</v>
      </c>
      <c r="M30" s="327">
        <f>J30*15/100</f>
        <v>20065.7844</v>
      </c>
      <c r="N30" s="327">
        <f>J30*13.1/100</f>
        <v>17524.118375999999</v>
      </c>
      <c r="O30" s="1091">
        <f>J30*40/100</f>
        <v>53508.758399999999</v>
      </c>
      <c r="P30" s="1092"/>
      <c r="Q30" s="327">
        <f>J30*36.4/100</f>
        <v>48692.970143999999</v>
      </c>
      <c r="R30" s="325">
        <f>J30*45.48/100</f>
        <v>60839.458300799997</v>
      </c>
      <c r="S30" s="1055"/>
      <c r="T30" s="332">
        <f>S29*8.8/100+S29</f>
        <v>520400.19199999998</v>
      </c>
      <c r="U30" s="175">
        <f>S29*4.57/100</f>
        <v>21858.721300000005</v>
      </c>
      <c r="V30" s="861">
        <v>72414</v>
      </c>
      <c r="W30" s="330"/>
      <c r="X30" s="330"/>
      <c r="Y30" s="330"/>
    </row>
    <row r="32" spans="1:39" x14ac:dyDescent="0.25">
      <c r="C32" s="185"/>
      <c r="M32" s="183"/>
    </row>
    <row r="33" spans="3:13" x14ac:dyDescent="0.25">
      <c r="C33" s="185"/>
      <c r="M33" s="183"/>
    </row>
  </sheetData>
  <mergeCells count="53">
    <mergeCell ref="AB1:AM1"/>
    <mergeCell ref="V20:W20"/>
    <mergeCell ref="A18:B18"/>
    <mergeCell ref="A13:A15"/>
    <mergeCell ref="O30:P30"/>
    <mergeCell ref="A22:B22"/>
    <mergeCell ref="A25:E25"/>
    <mergeCell ref="O29:P29"/>
    <mergeCell ref="A16:AB16"/>
    <mergeCell ref="V18:W18"/>
    <mergeCell ref="G28:J28"/>
    <mergeCell ref="D28:F28"/>
    <mergeCell ref="K27:R27"/>
    <mergeCell ref="K28:R28"/>
    <mergeCell ref="S27:S28"/>
    <mergeCell ref="S29:S30"/>
    <mergeCell ref="AD2:AE2"/>
    <mergeCell ref="AD22:AE22"/>
    <mergeCell ref="AD21:AE21"/>
    <mergeCell ref="AD20:AE20"/>
    <mergeCell ref="AD19:AE19"/>
    <mergeCell ref="AD18:AE18"/>
    <mergeCell ref="G27:J27"/>
    <mergeCell ref="T28:Y28"/>
    <mergeCell ref="V22:W22"/>
    <mergeCell ref="V2:W2"/>
    <mergeCell ref="D1:N1"/>
    <mergeCell ref="L2:M2"/>
    <mergeCell ref="V19:W19"/>
    <mergeCell ref="V21:W21"/>
    <mergeCell ref="T27:Y27"/>
    <mergeCell ref="B2:B3"/>
    <mergeCell ref="Y2:AA2"/>
    <mergeCell ref="O1:AA1"/>
    <mergeCell ref="A27:C27"/>
    <mergeCell ref="D27:F27"/>
    <mergeCell ref="A1:C1"/>
    <mergeCell ref="A17:B17"/>
    <mergeCell ref="A4:A6"/>
    <mergeCell ref="C2:C3"/>
    <mergeCell ref="A7:A9"/>
    <mergeCell ref="A19:B19"/>
    <mergeCell ref="A20:B20"/>
    <mergeCell ref="A21:B21"/>
    <mergeCell ref="A24:E24"/>
    <mergeCell ref="A10:A12"/>
    <mergeCell ref="A2:A3"/>
    <mergeCell ref="AK2:AL2"/>
    <mergeCell ref="AG22:AH22"/>
    <mergeCell ref="AG21:AH21"/>
    <mergeCell ref="AG20:AH20"/>
    <mergeCell ref="AG19:AH19"/>
    <mergeCell ref="AG18:AH18"/>
  </mergeCells>
  <pageMargins left="0.23622047244094491" right="3.937007874015748E-2" top="0.74803149606299213" bottom="0.74803149606299213" header="0.31496062992125984" footer="0.31496062992125984"/>
  <pageSetup paperSize="9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TRAFIGURA</vt:lpstr>
      <vt:lpstr>AXION Energy</vt:lpstr>
      <vt:lpstr>OTE</vt:lpstr>
      <vt:lpstr>CONVENIO MARCO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PC5</dc:creator>
  <cp:lastModifiedBy>PC7</cp:lastModifiedBy>
  <cp:lastPrinted>2022-08-23T12:25:46Z</cp:lastPrinted>
  <dcterms:created xsi:type="dcterms:W3CDTF">2020-10-09T14:33:53Z</dcterms:created>
  <dcterms:modified xsi:type="dcterms:W3CDTF">2024-09-18T18:23:39Z</dcterms:modified>
</cp:coreProperties>
</file>