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7\Desktop\COMPANIAS DE CONTROL\"/>
    </mc:Choice>
  </mc:AlternateContent>
  <bookViews>
    <workbookView xWindow="0" yWindow="0" windowWidth="20490" windowHeight="90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4" i="1" l="1"/>
  <c r="AH15" i="1"/>
  <c r="AH16" i="1"/>
  <c r="AH17" i="1"/>
  <c r="AH18" i="1"/>
  <c r="AG14" i="1"/>
  <c r="AG15" i="1"/>
  <c r="AG16" i="1"/>
  <c r="AG17" i="1"/>
  <c r="AG18" i="1"/>
  <c r="AF14" i="1"/>
  <c r="AF15" i="1"/>
  <c r="AF16" i="1"/>
  <c r="AF17" i="1"/>
  <c r="AF18" i="1"/>
  <c r="AH13" i="1"/>
  <c r="AG13" i="1"/>
  <c r="AE13" i="1"/>
  <c r="AF13" i="1"/>
  <c r="AE14" i="1"/>
  <c r="AE15" i="1"/>
  <c r="AE16" i="1"/>
  <c r="AE17" i="1"/>
  <c r="AE18" i="1"/>
  <c r="AT6" i="1"/>
  <c r="AT7" i="1"/>
  <c r="AT8" i="1"/>
  <c r="AT5" i="1"/>
  <c r="AS6" i="1"/>
  <c r="AS7" i="1"/>
  <c r="AS8" i="1"/>
  <c r="AS5" i="1"/>
  <c r="AR9" i="1"/>
  <c r="AR6" i="1"/>
  <c r="AR7" i="1"/>
  <c r="AR8" i="1"/>
  <c r="AR5" i="1"/>
  <c r="AQ9" i="1"/>
  <c r="AD14" i="1" l="1"/>
  <c r="AD15" i="1"/>
  <c r="AD16" i="1"/>
  <c r="AD17" i="1"/>
  <c r="AC14" i="1"/>
  <c r="AC15" i="1"/>
  <c r="AC16" i="1"/>
  <c r="AC17" i="1"/>
  <c r="AD13" i="1"/>
  <c r="AC13" i="1"/>
  <c r="AT9" i="1"/>
  <c r="AS9" i="1"/>
  <c r="AP9" i="1"/>
  <c r="AO9" i="1"/>
  <c r="AN9" i="1"/>
  <c r="AM9" i="1"/>
  <c r="AB14" i="1" l="1"/>
  <c r="AB15" i="1"/>
  <c r="AB16" i="1"/>
  <c r="AB17" i="1"/>
  <c r="AB13" i="1"/>
  <c r="AA14" i="1"/>
  <c r="AA15" i="1"/>
  <c r="AA16" i="1"/>
  <c r="AA17" i="1"/>
  <c r="AA13" i="1"/>
  <c r="P18" i="1" l="1"/>
  <c r="Z18" i="1" l="1"/>
  <c r="Y18" i="1"/>
  <c r="X18" i="1"/>
  <c r="W18" i="1"/>
  <c r="V18" i="1"/>
  <c r="U18" i="1"/>
  <c r="S18" i="1"/>
  <c r="T18" i="1"/>
  <c r="L18" i="1"/>
  <c r="K18" i="1"/>
  <c r="J18" i="1"/>
  <c r="I18" i="1"/>
  <c r="H18" i="1"/>
  <c r="AC18" i="1" l="1"/>
  <c r="AD18" i="1"/>
  <c r="AA18" i="1"/>
  <c r="AB18" i="1"/>
  <c r="B8" i="1" l="1"/>
  <c r="F5" i="1" l="1"/>
  <c r="R5" i="1" s="1"/>
  <c r="F6" i="1"/>
  <c r="R6" i="1" s="1"/>
  <c r="F7" i="1"/>
  <c r="R7" i="1" s="1"/>
  <c r="AL5" i="1" l="1"/>
  <c r="AQ5" i="1" s="1"/>
  <c r="AI5" i="1"/>
  <c r="AK5" i="1"/>
  <c r="AF5" i="1"/>
  <c r="AL6" i="1"/>
  <c r="AQ6" i="1" s="1"/>
  <c r="AI6" i="1"/>
  <c r="AK6" i="1"/>
  <c r="AF6" i="1"/>
  <c r="AL7" i="1"/>
  <c r="AQ7" i="1" s="1"/>
  <c r="AI7" i="1"/>
  <c r="AK7" i="1"/>
  <c r="AF7" i="1"/>
  <c r="AD5" i="1"/>
  <c r="AA5" i="1"/>
  <c r="AB5" i="1"/>
  <c r="Y5" i="1"/>
  <c r="AD7" i="1"/>
  <c r="AA7" i="1"/>
  <c r="AB7" i="1"/>
  <c r="Y7" i="1"/>
  <c r="AD6" i="1"/>
  <c r="AB6" i="1"/>
  <c r="AA6" i="1"/>
  <c r="Y6" i="1"/>
  <c r="T6" i="1"/>
  <c r="V6" i="1"/>
  <c r="V7" i="1"/>
  <c r="T7" i="1"/>
  <c r="V5" i="1"/>
  <c r="T5" i="1"/>
  <c r="Q6" i="1"/>
  <c r="P6" i="1"/>
  <c r="M6" i="1"/>
  <c r="O6" i="1"/>
  <c r="L6" i="1"/>
  <c r="G6" i="1"/>
  <c r="Q7" i="1"/>
  <c r="P7" i="1"/>
  <c r="M7" i="1"/>
  <c r="O7" i="1"/>
  <c r="L7" i="1"/>
  <c r="G7" i="1"/>
  <c r="H5" i="1"/>
  <c r="H8" i="1" s="1"/>
  <c r="F8" i="1"/>
  <c r="Q5" i="1"/>
  <c r="P5" i="1"/>
  <c r="P8" i="1" s="1"/>
  <c r="O5" i="1"/>
  <c r="O8" i="1" s="1"/>
  <c r="L5" i="1"/>
  <c r="L8" i="1" s="1"/>
  <c r="M5" i="1"/>
  <c r="M8" i="1" s="1"/>
  <c r="K7" i="1"/>
  <c r="H7" i="1"/>
  <c r="H6" i="1"/>
  <c r="K6" i="1"/>
  <c r="K5" i="1"/>
  <c r="K8" i="1" s="1"/>
  <c r="G5" i="1"/>
  <c r="G8" i="1" s="1"/>
  <c r="D16" i="1"/>
  <c r="AP7" i="1" l="1"/>
  <c r="AP6" i="1"/>
  <c r="AO5" i="1"/>
  <c r="AP5" i="1"/>
  <c r="AN5" i="1"/>
  <c r="AM5" i="1"/>
  <c r="AO7" i="1"/>
  <c r="AN7" i="1"/>
  <c r="AM7" i="1"/>
  <c r="AO6" i="1"/>
  <c r="AM6" i="1"/>
  <c r="AN6" i="1"/>
  <c r="Q8" i="1"/>
  <c r="R8" i="1"/>
  <c r="G14" i="1"/>
  <c r="P14" i="1" s="1"/>
  <c r="G15" i="1"/>
  <c r="P15" i="1" s="1"/>
  <c r="G16" i="1"/>
  <c r="P16" i="1" s="1"/>
  <c r="G17" i="1"/>
  <c r="P17" i="1" s="1"/>
  <c r="G13" i="1"/>
  <c r="P13" i="1" s="1"/>
  <c r="Y13" i="1" l="1"/>
  <c r="X13" i="1"/>
  <c r="W13" i="1"/>
  <c r="Y17" i="1"/>
  <c r="X17" i="1"/>
  <c r="W17" i="1"/>
  <c r="X14" i="1"/>
  <c r="Y14" i="1"/>
  <c r="W14" i="1"/>
  <c r="X15" i="1"/>
  <c r="Y15" i="1"/>
  <c r="W15" i="1"/>
  <c r="AL8" i="1"/>
  <c r="AQ8" i="1" s="1"/>
  <c r="AI8" i="1"/>
  <c r="AK8" i="1"/>
  <c r="AF8" i="1"/>
  <c r="T8" i="1"/>
  <c r="V8" i="1"/>
  <c r="S15" i="1"/>
  <c r="T15" i="1"/>
  <c r="AD8" i="1"/>
  <c r="AA8" i="1"/>
  <c r="AB8" i="1"/>
  <c r="Y8" i="1"/>
  <c r="T17" i="1"/>
  <c r="S17" i="1"/>
  <c r="S13" i="1"/>
  <c r="T13" i="1"/>
  <c r="T14" i="1"/>
  <c r="S14" i="1"/>
  <c r="R15" i="1"/>
  <c r="Q15" i="1"/>
  <c r="I15" i="1"/>
  <c r="J15" i="1"/>
  <c r="R14" i="1"/>
  <c r="Q14" i="1"/>
  <c r="J16" i="1"/>
  <c r="R13" i="1"/>
  <c r="Q13" i="1"/>
  <c r="Q17" i="1"/>
  <c r="R17" i="1"/>
  <c r="H15" i="1"/>
  <c r="O15" i="1" s="1"/>
  <c r="N13" i="1"/>
  <c r="L13" i="1"/>
  <c r="K13" i="1"/>
  <c r="M13" i="1"/>
  <c r="L17" i="1"/>
  <c r="N17" i="1"/>
  <c r="M17" i="1"/>
  <c r="K17" i="1"/>
  <c r="H17" i="1"/>
  <c r="O17" i="1" s="1"/>
  <c r="I17" i="1"/>
  <c r="J17" i="1"/>
  <c r="H14" i="1"/>
  <c r="O14" i="1" s="1"/>
  <c r="N14" i="1"/>
  <c r="M14" i="1"/>
  <c r="K14" i="1"/>
  <c r="L14" i="1"/>
  <c r="H13" i="1"/>
  <c r="O13" i="1" s="1"/>
  <c r="I13" i="1"/>
  <c r="J13" i="1"/>
  <c r="M15" i="1"/>
  <c r="L15" i="1"/>
  <c r="N15" i="1"/>
  <c r="K15" i="1"/>
  <c r="H16" i="1"/>
  <c r="O16" i="1" s="1"/>
  <c r="I16" i="1"/>
  <c r="I14" i="1"/>
  <c r="J14" i="1"/>
  <c r="AP8" i="1" l="1"/>
  <c r="AO8" i="1"/>
  <c r="AM8" i="1"/>
  <c r="AN8" i="1"/>
  <c r="R16" i="1"/>
  <c r="Q16" i="1"/>
  <c r="D5" i="1"/>
  <c r="D8" i="1" s="1"/>
  <c r="C5" i="1"/>
  <c r="C8" i="1" s="1"/>
  <c r="F14" i="1"/>
  <c r="F15" i="1"/>
  <c r="F16" i="1"/>
  <c r="F17" i="1"/>
  <c r="E14" i="1"/>
  <c r="E15" i="1"/>
  <c r="E16" i="1"/>
  <c r="E17" i="1"/>
  <c r="D17" i="1"/>
  <c r="D14" i="1"/>
  <c r="D15" i="1"/>
  <c r="E6" i="1"/>
  <c r="E7" i="1"/>
  <c r="E5" i="1"/>
  <c r="E8" i="1" s="1"/>
  <c r="D6" i="1"/>
  <c r="D7" i="1"/>
  <c r="C6" i="1"/>
  <c r="C7" i="1"/>
</calcChain>
</file>

<file path=xl/sharedStrings.xml><?xml version="1.0" encoding="utf-8"?>
<sst xmlns="http://schemas.openxmlformats.org/spreadsheetml/2006/main" count="111" uniqueCount="90">
  <si>
    <t>Categoria</t>
  </si>
  <si>
    <t>Auditor Junior</t>
  </si>
  <si>
    <t>Auditor semi Senior</t>
  </si>
  <si>
    <t>Auditor Senior</t>
  </si>
  <si>
    <t>Básicos 01/6/2021</t>
  </si>
  <si>
    <t>Básicos  (15%) 01/11/2021</t>
  </si>
  <si>
    <t>Horario</t>
  </si>
  <si>
    <t>Adicional Guardia Activa Nocturnidad: lunes a Viernes</t>
  </si>
  <si>
    <t>Adicional Guardia Activa:Sábados Domingos y Feriados Nacionales</t>
  </si>
  <si>
    <t>Adicional Embarcado</t>
  </si>
  <si>
    <t>Vianda ayuda Alimentaria (Nota1)</t>
  </si>
  <si>
    <t>Subsidio Medicamentos (Nota2)</t>
  </si>
  <si>
    <t>de 00:00 a 06:00 y/o de 18:00 a 24:00</t>
  </si>
  <si>
    <t>de 00:00 a 06:00, de 06:00 a 12:00, de 12:00 a 18:00 y de 18:00 a 24:00</t>
  </si>
  <si>
    <t>por día embarcado</t>
  </si>
  <si>
    <t>Por día efectivamente trabajado</t>
  </si>
  <si>
    <t>Mensual</t>
  </si>
  <si>
    <t>Básicos  (10%) 01/12/2021</t>
  </si>
  <si>
    <t>Básicos 01/06/2021</t>
  </si>
  <si>
    <t>Básicos (10%) 01/01/2022</t>
  </si>
  <si>
    <t>Paritaria 2021/2022 57,82% total</t>
  </si>
  <si>
    <t>Básicos (22,82) 01/04/2022</t>
  </si>
  <si>
    <t>Adicionales y Subsidios 2021/2022</t>
  </si>
  <si>
    <t>Básicos (22,82%) 01/04/2022</t>
  </si>
  <si>
    <t>Básicos (10%) 01/05/2022</t>
  </si>
  <si>
    <t>Básicos (10%) 01/07/2022 (20%A)</t>
  </si>
  <si>
    <t>Básicos  (10%) 01/09/2022 (30%A)</t>
  </si>
  <si>
    <t>PARITARIAS 2022/2023</t>
  </si>
  <si>
    <t>Art 41BIS agosto 2022</t>
  </si>
  <si>
    <t>Adicionales y Subsidios 2022/2023</t>
  </si>
  <si>
    <t xml:space="preserve">En esta planilla el salario del mes de abril 2022 se encuentra actualizado con el 22,82%, que en realidad fue cobrado como suma no remunerativa en el mes de mayo2022. </t>
  </si>
  <si>
    <t>Utilizamos abril, como base de cálculo para la paritaria 2022. Por ese motivo es que ya figura actualizado, aunque en la realidad se pagó de otra manera.</t>
  </si>
  <si>
    <t>De la misma manera el mes de mayo 2022 (ya con un 22,82% de incremento) se verá actualizado con un 10% más que en el recibo de sueldo. Ya que en el recibo de sueldo ese 10% viene como suma no remunerativa y se verá reflejado en los básicos, recién en el salario del mes de Julio 2022.</t>
  </si>
  <si>
    <t xml:space="preserve"> </t>
  </si>
  <si>
    <t xml:space="preserve">COMPANIA DE CONTROL </t>
  </si>
  <si>
    <t>º</t>
  </si>
  <si>
    <t>Básicos  (15%) 01/11/2022 (45%A)</t>
  </si>
  <si>
    <t>Básicos  (15%) 01/12/2022 (60%A)</t>
  </si>
  <si>
    <t>Básicos  (10%) 01/02/2022 (70%A)</t>
  </si>
  <si>
    <t>Art 41 BISEnero 2023</t>
  </si>
  <si>
    <t>19% no rem</t>
  </si>
  <si>
    <t>Básicos  (10%) 01/02/2023 (70%A)</t>
  </si>
  <si>
    <t>JORNALERO</t>
  </si>
  <si>
    <t>Básicos  (10%) 01/04/2023(80%A)</t>
  </si>
  <si>
    <t>15/06/2023 Ajuste 41BIS (2022)</t>
  </si>
  <si>
    <t>15/06/2023 primer cuota 41bis 2023</t>
  </si>
  <si>
    <t>julio 2023 segunda cuota 41 bis</t>
  </si>
  <si>
    <t>01/06/2023 11%</t>
  </si>
  <si>
    <t>01/07/2023 14%(25A)</t>
  </si>
  <si>
    <t>COMPANIA DE CONTROL</t>
  </si>
  <si>
    <t>PARITARIAS 2023/2024</t>
  </si>
  <si>
    <t>Adicionales y Subsidios 2023/2024</t>
  </si>
  <si>
    <t>junio 11%</t>
  </si>
  <si>
    <t>Julio 14% (25%A)</t>
  </si>
  <si>
    <t>Bàsicos 108,8% 01/05/2023</t>
  </si>
  <si>
    <t>AYUDA ESCOLAR</t>
  </si>
  <si>
    <t>Basicos 108,8% 01/05/2023</t>
  </si>
  <si>
    <t>Básicos  (10%) 01/03/2022 (80%A)</t>
  </si>
  <si>
    <t>Agosto revision 41 bis</t>
  </si>
  <si>
    <t>Septiembre revision 41 bis</t>
  </si>
  <si>
    <t>Septiembre 15% (40%A)</t>
  </si>
  <si>
    <t>Octubre 12,5% (52,5%A)</t>
  </si>
  <si>
    <t>Noviembre 17,5%(70%A)</t>
  </si>
  <si>
    <t>Noviembre revision 41 bis</t>
  </si>
  <si>
    <t>Diciembre 23,1% (93,1%A)</t>
  </si>
  <si>
    <t>Enero revision 41 bis</t>
  </si>
  <si>
    <t>Diciembre revision 41 bis</t>
  </si>
  <si>
    <t>Enero 15% (148,1%A)</t>
  </si>
  <si>
    <t>,</t>
  </si>
  <si>
    <t>Febrero 36,4% (184,5%A)</t>
  </si>
  <si>
    <t>Marzo 12,5% (197 %A)</t>
  </si>
  <si>
    <t>Febrero 36,4 (184,5%A)</t>
  </si>
  <si>
    <t>Marzo 12,5% (197%A)</t>
  </si>
  <si>
    <t>Febrero         41 BIS</t>
  </si>
  <si>
    <t>COMPANIAS DE CONTROL</t>
  </si>
  <si>
    <t>PARITARIAS 2024/2025</t>
  </si>
  <si>
    <t>Mayo 8,8%</t>
  </si>
  <si>
    <t>Junio 4,57% (13,37A)</t>
  </si>
  <si>
    <t>41 BIS</t>
  </si>
  <si>
    <t>Adicionales y Subsidios 2024/2025</t>
  </si>
  <si>
    <t>Abril 15% (257,48%A)MES DE REFERENCIA</t>
  </si>
  <si>
    <t>Junio 4,57%  (13,37%A)</t>
  </si>
  <si>
    <t>Abril 60,48% (257,48%A) mes referencia</t>
  </si>
  <si>
    <t>Septiembre 15,14% (28,51%A)</t>
  </si>
  <si>
    <t>Octubre 4% (32,51%A)</t>
  </si>
  <si>
    <t>Noviembre 4,09% (36,6%A)</t>
  </si>
  <si>
    <t>Diciembre 4% (40,6%A)</t>
  </si>
  <si>
    <t>Enero 3% (43,6%A)</t>
  </si>
  <si>
    <t>Marzo 3% (46,6%A)</t>
  </si>
  <si>
    <t xml:space="preserve">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</si>
</sst>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164" formatCode="_ &quot;$&quot;\ * #,##0.0_ ;_ &quot;$&quot;\ * \-#,##0.0_ ;_ &quot;$&quot;\ * &quot;-&quot;??_ ;_ @_ "/>
    <numFmt numFmtId="165" formatCode="_ &quot;$&quot;\ * #,##0.0_ ;_ &quot;$&quot;\ * \-#,##0.0_ ;_ &quot;$&quot;\ * &quot;-&quot;?_ ;_ @_ "/>
    <numFmt numFmtId="166" formatCode="_ &quot;$&quot;\ * #,##0_ ;_ &quot;$&quot;\ * \-#,##0_ ;_ &quot;$&quot;\ * &quot;-&quot;??_ ;_ @_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4" borderId="1" xfId="1" applyNumberFormat="1" applyFont="1" applyFill="1" applyBorder="1" applyAlignment="1">
      <alignment horizontal="center" vertical="center"/>
    </xf>
    <xf numFmtId="164" fontId="0" fillId="0" borderId="19" xfId="1" applyNumberFormat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44" fontId="0" fillId="0" borderId="19" xfId="1" applyFont="1" applyBorder="1" applyAlignment="1">
      <alignment horizontal="center" vertical="center"/>
    </xf>
    <xf numFmtId="164" fontId="0" fillId="0" borderId="14" xfId="1" applyNumberFormat="1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0" fillId="4" borderId="15" xfId="1" applyNumberFormat="1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 wrapText="1"/>
    </xf>
    <xf numFmtId="164" fontId="0" fillId="4" borderId="39" xfId="1" applyNumberFormat="1" applyFont="1" applyFill="1" applyBorder="1" applyAlignment="1">
      <alignment horizontal="center" vertical="center"/>
    </xf>
    <xf numFmtId="164" fontId="0" fillId="4" borderId="36" xfId="1" applyNumberFormat="1" applyFont="1" applyFill="1" applyBorder="1" applyAlignment="1">
      <alignment horizontal="center" vertical="center"/>
    </xf>
    <xf numFmtId="164" fontId="0" fillId="0" borderId="37" xfId="1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44" fontId="0" fillId="0" borderId="39" xfId="1" applyFont="1" applyBorder="1" applyAlignment="1">
      <alignment horizontal="center" vertical="center"/>
    </xf>
    <xf numFmtId="44" fontId="0" fillId="0" borderId="36" xfId="1" applyFont="1" applyBorder="1" applyAlignment="1">
      <alignment horizontal="center" vertical="center"/>
    </xf>
    <xf numFmtId="44" fontId="0" fillId="0" borderId="42" xfId="1" applyFont="1" applyBorder="1" applyAlignment="1">
      <alignment horizontal="center" vertical="center"/>
    </xf>
    <xf numFmtId="44" fontId="0" fillId="0" borderId="36" xfId="0" applyNumberForma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4" fontId="0" fillId="0" borderId="20" xfId="1" applyFont="1" applyBorder="1" applyAlignment="1">
      <alignment horizontal="center" vertical="center"/>
    </xf>
    <xf numFmtId="44" fontId="0" fillId="0" borderId="43" xfId="1" applyFont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44" fontId="0" fillId="0" borderId="21" xfId="1" applyFont="1" applyBorder="1" applyAlignment="1">
      <alignment horizontal="center" vertical="center"/>
    </xf>
    <xf numFmtId="44" fontId="0" fillId="0" borderId="22" xfId="1" applyFont="1" applyBorder="1" applyAlignment="1">
      <alignment horizontal="center" vertical="center"/>
    </xf>
    <xf numFmtId="44" fontId="0" fillId="0" borderId="23" xfId="1" applyFont="1" applyBorder="1" applyAlignment="1">
      <alignment horizontal="center" vertical="center"/>
    </xf>
    <xf numFmtId="44" fontId="13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44" fontId="13" fillId="0" borderId="36" xfId="0" applyNumberFormat="1" applyFont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 wrapText="1"/>
    </xf>
    <xf numFmtId="44" fontId="0" fillId="0" borderId="14" xfId="0" applyNumberFormat="1" applyBorder="1" applyAlignment="1">
      <alignment horizontal="center" vertical="center"/>
    </xf>
    <xf numFmtId="44" fontId="0" fillId="0" borderId="30" xfId="0" applyNumberForma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19" xfId="0" applyNumberForma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22" xfId="0" applyNumberFormat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4" fontId="0" fillId="0" borderId="14" xfId="1" applyFont="1" applyBorder="1" applyAlignment="1">
      <alignment horizontal="center" vertical="center"/>
    </xf>
    <xf numFmtId="44" fontId="0" fillId="0" borderId="30" xfId="1" applyFont="1" applyBorder="1" applyAlignment="1">
      <alignment horizontal="center" vertical="center"/>
    </xf>
    <xf numFmtId="44" fontId="0" fillId="5" borderId="1" xfId="1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19" xfId="0" applyNumberFormat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164" fontId="0" fillId="4" borderId="47" xfId="1" applyNumberFormat="1" applyFont="1" applyFill="1" applyBorder="1" applyAlignment="1">
      <alignment horizontal="center" vertical="center"/>
    </xf>
    <xf numFmtId="164" fontId="0" fillId="4" borderId="33" xfId="1" applyNumberFormat="1" applyFont="1" applyFill="1" applyBorder="1" applyAlignment="1">
      <alignment horizontal="center" vertical="center"/>
    </xf>
    <xf numFmtId="164" fontId="0" fillId="4" borderId="34" xfId="1" applyNumberFormat="1" applyFont="1" applyFill="1" applyBorder="1" applyAlignment="1">
      <alignment horizontal="center" vertical="center"/>
    </xf>
    <xf numFmtId="164" fontId="0" fillId="4" borderId="42" xfId="1" applyNumberFormat="1" applyFont="1" applyFill="1" applyBorder="1" applyAlignment="1">
      <alignment horizontal="center" vertical="center"/>
    </xf>
    <xf numFmtId="165" fontId="13" fillId="0" borderId="36" xfId="0" applyNumberFormat="1" applyFont="1" applyBorder="1" applyAlignment="1">
      <alignment horizontal="center" vertical="center"/>
    </xf>
    <xf numFmtId="165" fontId="0" fillId="0" borderId="36" xfId="0" applyNumberFormat="1" applyBorder="1" applyAlignment="1">
      <alignment horizontal="center" vertical="center"/>
    </xf>
    <xf numFmtId="44" fontId="0" fillId="4" borderId="36" xfId="1" applyFont="1" applyFill="1" applyBorder="1" applyAlignment="1">
      <alignment horizontal="center" vertical="center"/>
    </xf>
    <xf numFmtId="44" fontId="0" fillId="0" borderId="37" xfId="1" applyFont="1" applyBorder="1" applyAlignment="1">
      <alignment horizontal="center" vertical="center"/>
    </xf>
    <xf numFmtId="166" fontId="0" fillId="0" borderId="42" xfId="0" applyNumberFormat="1" applyBorder="1" applyAlignment="1">
      <alignment horizontal="center" vertical="center"/>
    </xf>
    <xf numFmtId="166" fontId="0" fillId="0" borderId="36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0" fillId="5" borderId="1" xfId="1" applyNumberFormat="1" applyFont="1" applyFill="1" applyBorder="1" applyAlignment="1">
      <alignment horizontal="center" vertical="center"/>
    </xf>
    <xf numFmtId="166" fontId="0" fillId="5" borderId="21" xfId="0" applyNumberFormat="1" applyFill="1" applyBorder="1" applyAlignment="1">
      <alignment horizontal="center" vertical="center"/>
    </xf>
    <xf numFmtId="166" fontId="0" fillId="5" borderId="22" xfId="0" applyNumberFormat="1" applyFill="1" applyBorder="1" applyAlignment="1">
      <alignment horizontal="center" vertical="center"/>
    </xf>
    <xf numFmtId="44" fontId="0" fillId="5" borderId="22" xfId="0" applyNumberForma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165" fontId="13" fillId="5" borderId="1" xfId="0" applyNumberFormat="1" applyFon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44" fontId="0" fillId="5" borderId="36" xfId="1" applyFont="1" applyFill="1" applyBorder="1" applyAlignment="1">
      <alignment horizontal="center" vertical="center"/>
    </xf>
    <xf numFmtId="44" fontId="0" fillId="5" borderId="40" xfId="1" applyFont="1" applyFill="1" applyBorder="1" applyAlignment="1">
      <alignment horizontal="center" vertical="center"/>
    </xf>
    <xf numFmtId="44" fontId="0" fillId="5" borderId="2" xfId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44" fontId="0" fillId="5" borderId="37" xfId="1" applyFont="1" applyFill="1" applyBorder="1" applyAlignment="1">
      <alignment horizontal="center" vertical="center"/>
    </xf>
    <xf numFmtId="44" fontId="0" fillId="5" borderId="24" xfId="1" applyFont="1" applyFill="1" applyBorder="1" applyAlignment="1">
      <alignment horizontal="center" vertical="center"/>
    </xf>
    <xf numFmtId="44" fontId="0" fillId="5" borderId="12" xfId="1" applyFont="1" applyFill="1" applyBorder="1" applyAlignment="1">
      <alignment horizontal="center" vertical="center"/>
    </xf>
    <xf numFmtId="166" fontId="0" fillId="5" borderId="36" xfId="1" applyNumberFormat="1" applyFont="1" applyFill="1" applyBorder="1" applyAlignment="1">
      <alignment horizontal="center" vertical="center"/>
    </xf>
    <xf numFmtId="166" fontId="0" fillId="5" borderId="40" xfId="1" applyNumberFormat="1" applyFont="1" applyFill="1" applyBorder="1" applyAlignment="1">
      <alignment horizontal="center" vertical="center"/>
    </xf>
    <xf numFmtId="166" fontId="0" fillId="5" borderId="2" xfId="1" applyNumberFormat="1" applyFont="1" applyFill="1" applyBorder="1" applyAlignment="1">
      <alignment horizontal="center" vertical="center"/>
    </xf>
    <xf numFmtId="164" fontId="0" fillId="5" borderId="36" xfId="1" applyNumberFormat="1" applyFont="1" applyFill="1" applyBorder="1" applyAlignment="1">
      <alignment horizontal="center" vertical="center"/>
    </xf>
    <xf numFmtId="164" fontId="0" fillId="5" borderId="40" xfId="1" applyNumberFormat="1" applyFont="1" applyFill="1" applyBorder="1" applyAlignment="1">
      <alignment horizontal="center" vertical="center"/>
    </xf>
    <xf numFmtId="164" fontId="0" fillId="5" borderId="2" xfId="1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17" fontId="6" fillId="2" borderId="19" xfId="0" applyNumberFormat="1" applyFont="1" applyFill="1" applyBorder="1" applyAlignment="1">
      <alignment horizontal="center" vertical="center"/>
    </xf>
    <xf numFmtId="17" fontId="6" fillId="2" borderId="1" xfId="0" applyNumberFormat="1" applyFont="1" applyFill="1" applyBorder="1" applyAlignment="1">
      <alignment horizontal="center" vertical="center"/>
    </xf>
    <xf numFmtId="17" fontId="6" fillId="2" borderId="14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17" fontId="6" fillId="3" borderId="19" xfId="0" applyNumberFormat="1" applyFont="1" applyFill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 vertical="center"/>
    </xf>
    <xf numFmtId="17" fontId="6" fillId="3" borderId="36" xfId="0" applyNumberFormat="1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44" fontId="0" fillId="6" borderId="26" xfId="1" applyFont="1" applyFill="1" applyBorder="1" applyAlignment="1">
      <alignment horizontal="center" vertical="center"/>
    </xf>
    <xf numFmtId="44" fontId="0" fillId="6" borderId="38" xfId="1" applyFont="1" applyFill="1" applyBorder="1" applyAlignment="1">
      <alignment horizontal="center" vertical="center"/>
    </xf>
    <xf numFmtId="44" fontId="0" fillId="6" borderId="1" xfId="1" applyFont="1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3" fillId="6" borderId="48" xfId="0" applyFont="1" applyFill="1" applyBorder="1" applyAlignment="1">
      <alignment horizontal="center" vertical="center" wrapText="1"/>
    </xf>
    <xf numFmtId="44" fontId="0" fillId="6" borderId="49" xfId="1" applyFont="1" applyFill="1" applyBorder="1" applyAlignment="1">
      <alignment horizontal="center" vertical="center"/>
    </xf>
    <xf numFmtId="44" fontId="0" fillId="6" borderId="50" xfId="1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"/>
  <sheetViews>
    <sheetView tabSelected="1" topLeftCell="A10" workbookViewId="0">
      <selection activeCell="AI16" sqref="AI16"/>
    </sheetView>
  </sheetViews>
  <sheetFormatPr baseColWidth="10" defaultRowHeight="15" x14ac:dyDescent="0.25"/>
  <cols>
    <col min="1" max="1" width="22.7109375" style="54" customWidth="1"/>
    <col min="2" max="2" width="25.5703125" style="54" customWidth="1"/>
    <col min="3" max="3" width="17.5703125" style="54" customWidth="1"/>
    <col min="4" max="5" width="15.7109375" style="54" customWidth="1"/>
    <col min="6" max="6" width="18.28515625" style="54" customWidth="1"/>
    <col min="7" max="7" width="12.7109375" style="54" customWidth="1"/>
    <col min="8" max="9" width="15" style="54" customWidth="1"/>
    <col min="10" max="10" width="13" style="54" customWidth="1"/>
    <col min="11" max="11" width="13.5703125" style="54" customWidth="1"/>
    <col min="12" max="12" width="12.28515625" style="54" customWidth="1"/>
    <col min="13" max="13" width="14.5703125" style="54" bestFit="1" customWidth="1"/>
    <col min="14" max="14" width="13.5703125" style="54" bestFit="1" customWidth="1"/>
    <col min="15" max="15" width="13.42578125" style="54" customWidth="1"/>
    <col min="16" max="16" width="12.7109375" style="54" customWidth="1"/>
    <col min="17" max="17" width="11.42578125" style="54"/>
    <col min="18" max="18" width="15.140625" style="54" customWidth="1"/>
    <col min="19" max="20" width="13.85546875" style="54" customWidth="1"/>
    <col min="21" max="22" width="13.140625" style="54" customWidth="1"/>
    <col min="23" max="23" width="13.42578125" style="54" customWidth="1"/>
    <col min="24" max="30" width="12.42578125" style="54" customWidth="1"/>
    <col min="31" max="31" width="18.42578125" style="54" customWidth="1"/>
    <col min="32" max="34" width="12.42578125" style="54" customWidth="1"/>
    <col min="35" max="35" width="14.5703125" style="54" customWidth="1"/>
    <col min="36" max="36" width="12.42578125" style="54" customWidth="1"/>
    <col min="37" max="38" width="14.7109375" style="54" customWidth="1"/>
    <col min="39" max="42" width="14" style="54" bestFit="1" customWidth="1"/>
    <col min="43" max="43" width="14" style="54" customWidth="1"/>
    <col min="44" max="46" width="14" style="54" bestFit="1" customWidth="1"/>
    <col min="47" max="16384" width="11.42578125" style="54"/>
  </cols>
  <sheetData>
    <row r="1" spans="1:48" ht="35.1" customHeight="1" thickBot="1" x14ac:dyDescent="0.3">
      <c r="A1" s="128" t="s">
        <v>33</v>
      </c>
      <c r="B1" s="129"/>
      <c r="C1" s="129"/>
      <c r="D1" s="129"/>
      <c r="E1" s="129"/>
    </row>
    <row r="2" spans="1:48" ht="35.1" customHeight="1" thickBot="1" x14ac:dyDescent="0.3">
      <c r="A2" s="47"/>
      <c r="B2" s="48"/>
      <c r="C2" s="142" t="s">
        <v>34</v>
      </c>
      <c r="D2" s="143"/>
      <c r="E2" s="143"/>
      <c r="F2" s="144"/>
      <c r="G2" s="116" t="s">
        <v>34</v>
      </c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50"/>
      <c r="T2" s="107" t="s">
        <v>49</v>
      </c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8" t="s">
        <v>74</v>
      </c>
      <c r="AN2" s="159"/>
      <c r="AO2" s="159"/>
      <c r="AP2" s="159"/>
      <c r="AQ2" s="159"/>
      <c r="AR2" s="159"/>
      <c r="AS2" s="159"/>
      <c r="AT2" s="159"/>
      <c r="AU2" s="159"/>
      <c r="AV2" s="160"/>
    </row>
    <row r="3" spans="1:48" ht="35.1" customHeight="1" thickBot="1" x14ac:dyDescent="0.3">
      <c r="A3" s="59"/>
      <c r="B3" s="48"/>
      <c r="C3" s="130" t="s">
        <v>20</v>
      </c>
      <c r="D3" s="131"/>
      <c r="E3" s="131"/>
      <c r="F3" s="132"/>
      <c r="G3" s="151" t="s">
        <v>27</v>
      </c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3"/>
      <c r="T3" s="155" t="s">
        <v>50</v>
      </c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7"/>
      <c r="AM3" s="161" t="s">
        <v>75</v>
      </c>
      <c r="AN3" s="162"/>
      <c r="AO3" s="162"/>
      <c r="AP3" s="162"/>
      <c r="AQ3" s="162"/>
      <c r="AR3" s="162"/>
      <c r="AS3" s="162"/>
      <c r="AT3" s="162"/>
      <c r="AU3" s="162"/>
      <c r="AV3" s="163"/>
    </row>
    <row r="4" spans="1:48" ht="63" x14ac:dyDescent="0.25">
      <c r="A4" s="19" t="s">
        <v>0</v>
      </c>
      <c r="B4" s="16" t="s">
        <v>4</v>
      </c>
      <c r="C4" s="15" t="s">
        <v>5</v>
      </c>
      <c r="D4" s="15" t="s">
        <v>17</v>
      </c>
      <c r="E4" s="15" t="s">
        <v>19</v>
      </c>
      <c r="F4" s="17" t="s">
        <v>23</v>
      </c>
      <c r="G4" s="20" t="s">
        <v>24</v>
      </c>
      <c r="H4" s="50" t="s">
        <v>25</v>
      </c>
      <c r="I4" s="145" t="s">
        <v>28</v>
      </c>
      <c r="J4" s="145"/>
      <c r="K4" s="50" t="s">
        <v>26</v>
      </c>
      <c r="L4" s="50" t="s">
        <v>36</v>
      </c>
      <c r="M4" s="50" t="s">
        <v>37</v>
      </c>
      <c r="N4" s="49" t="s">
        <v>39</v>
      </c>
      <c r="O4" s="50" t="s">
        <v>41</v>
      </c>
      <c r="P4" s="146" t="s">
        <v>43</v>
      </c>
      <c r="Q4" s="146"/>
      <c r="R4" s="50" t="s">
        <v>54</v>
      </c>
      <c r="S4" s="37" t="s">
        <v>44</v>
      </c>
      <c r="T4" s="20" t="s">
        <v>47</v>
      </c>
      <c r="U4" s="49" t="s">
        <v>45</v>
      </c>
      <c r="V4" s="50" t="s">
        <v>48</v>
      </c>
      <c r="W4" s="49" t="s">
        <v>46</v>
      </c>
      <c r="X4" s="72" t="s">
        <v>58</v>
      </c>
      <c r="Y4" s="51" t="s">
        <v>60</v>
      </c>
      <c r="Z4" s="72" t="s">
        <v>59</v>
      </c>
      <c r="AA4" s="51" t="s">
        <v>61</v>
      </c>
      <c r="AB4" s="51" t="s">
        <v>62</v>
      </c>
      <c r="AC4" s="72" t="s">
        <v>63</v>
      </c>
      <c r="AD4" s="52" t="s">
        <v>64</v>
      </c>
      <c r="AE4" s="72" t="s">
        <v>66</v>
      </c>
      <c r="AF4" s="51" t="s">
        <v>67</v>
      </c>
      <c r="AG4" s="164" t="s">
        <v>65</v>
      </c>
      <c r="AH4" s="164"/>
      <c r="AI4" s="52" t="s">
        <v>71</v>
      </c>
      <c r="AJ4" s="72" t="s">
        <v>73</v>
      </c>
      <c r="AK4" s="76" t="s">
        <v>72</v>
      </c>
      <c r="AL4" s="165" t="s">
        <v>80</v>
      </c>
      <c r="AM4" s="74" t="s">
        <v>76</v>
      </c>
      <c r="AN4" s="75" t="s">
        <v>77</v>
      </c>
      <c r="AO4" s="75" t="s">
        <v>83</v>
      </c>
      <c r="AP4" s="75" t="s">
        <v>84</v>
      </c>
      <c r="AQ4" s="75" t="s">
        <v>85</v>
      </c>
      <c r="AR4" s="75" t="s">
        <v>86</v>
      </c>
      <c r="AS4" s="75" t="s">
        <v>87</v>
      </c>
      <c r="AT4" s="75" t="s">
        <v>88</v>
      </c>
      <c r="AU4" s="73"/>
      <c r="AV4" s="70"/>
    </row>
    <row r="5" spans="1:48" x14ac:dyDescent="0.25">
      <c r="A5" s="60" t="s">
        <v>1</v>
      </c>
      <c r="B5" s="18">
        <v>81317</v>
      </c>
      <c r="C5" s="5">
        <f>(B5*15)/100+B5</f>
        <v>93514.55</v>
      </c>
      <c r="D5" s="5">
        <f>(B5*25)/100+B5</f>
        <v>101646.25</v>
      </c>
      <c r="E5" s="5">
        <f>(B5*35)/100+B5</f>
        <v>109777.95</v>
      </c>
      <c r="F5" s="13">
        <f>(B5*57.82)/100+B5</f>
        <v>128334.48940000001</v>
      </c>
      <c r="G5" s="6">
        <f>(F5*10)/100+F5</f>
        <v>141167.93833999999</v>
      </c>
      <c r="H5" s="4">
        <f>(F5*20)/100+F5</f>
        <v>154001.38728</v>
      </c>
      <c r="I5" s="125">
        <v>9265</v>
      </c>
      <c r="J5" s="104">
        <v>83284.399999999994</v>
      </c>
      <c r="K5" s="4">
        <f>(F5*30)/100+F5</f>
        <v>166834.83622</v>
      </c>
      <c r="L5" s="42">
        <f>F5*45/100+F5</f>
        <v>186085.00963000002</v>
      </c>
      <c r="M5" s="61">
        <f>F5*60/100+F5</f>
        <v>205335.18304</v>
      </c>
      <c r="N5" s="122">
        <v>32038</v>
      </c>
      <c r="O5" s="42">
        <f>F5*70/100+F5</f>
        <v>218168.63198000001</v>
      </c>
      <c r="P5" s="42">
        <f>F5*80/100+F5</f>
        <v>231002.08092000001</v>
      </c>
      <c r="Q5" s="62">
        <f>F5*19/100</f>
        <v>24383.552986000002</v>
      </c>
      <c r="R5" s="42">
        <f>F5*108.8/100+F5</f>
        <v>267962.41386720003</v>
      </c>
      <c r="S5" s="119">
        <v>18453</v>
      </c>
      <c r="T5" s="12">
        <f>R5*11/100+R5</f>
        <v>297438.27939259203</v>
      </c>
      <c r="U5" s="104">
        <v>83618</v>
      </c>
      <c r="V5" s="3">
        <f>R5*25/100+R5</f>
        <v>334953.01733400003</v>
      </c>
      <c r="W5" s="104">
        <v>83617</v>
      </c>
      <c r="X5" s="104">
        <v>55187.5</v>
      </c>
      <c r="Y5" s="3">
        <f>R5*40/100+R5</f>
        <v>375147.37941408006</v>
      </c>
      <c r="Z5" s="104">
        <v>55187.5</v>
      </c>
      <c r="AA5" s="3">
        <f>R5*52.5/100+R5</f>
        <v>408642.68114748003</v>
      </c>
      <c r="AB5" s="3">
        <f>R5*70/100+R5</f>
        <v>455536.10357424</v>
      </c>
      <c r="AC5" s="104">
        <v>20066</v>
      </c>
      <c r="AD5" s="3">
        <f>R5*93.1/100+R5</f>
        <v>517435.42117756326</v>
      </c>
      <c r="AE5" s="104">
        <v>17524</v>
      </c>
      <c r="AF5" s="3">
        <f>R5*148.1/100+R5</f>
        <v>664814.74880452326</v>
      </c>
      <c r="AG5" s="104">
        <v>20066</v>
      </c>
      <c r="AH5" s="104">
        <v>53515</v>
      </c>
      <c r="AI5" s="58">
        <f>R5*184.5/100+R5</f>
        <v>762353.06745218404</v>
      </c>
      <c r="AJ5" s="104">
        <v>48698</v>
      </c>
      <c r="AK5" s="77">
        <f>R5*197/100+R5</f>
        <v>795848.36918558402</v>
      </c>
      <c r="AL5" s="166">
        <f>R5*257.48/100+R5</f>
        <v>957912.03709246661</v>
      </c>
      <c r="AM5" s="81">
        <f>AL5*8.8/100+AL5</f>
        <v>1042208.2963566037</v>
      </c>
      <c r="AN5" s="80">
        <f>AL5*13.37/100+AL5</f>
        <v>1085984.8764517293</v>
      </c>
      <c r="AO5" s="14">
        <f>AL5*28.51/100+AL5</f>
        <v>1231012.7588675288</v>
      </c>
      <c r="AP5" s="14">
        <f>AL5*32.51/100+AL5</f>
        <v>1269329.2403512276</v>
      </c>
      <c r="AQ5" s="14">
        <f>AL5*36.6/100+AL5</f>
        <v>1308507.8426683093</v>
      </c>
      <c r="AR5" s="14">
        <f>AL5*40.6/100+AL5</f>
        <v>1346824.3241520082</v>
      </c>
      <c r="AS5" s="14">
        <f>AL5*43.6/100+AL5</f>
        <v>1375561.685264782</v>
      </c>
      <c r="AT5" s="14">
        <f>AL5*46.6/100+AL5</f>
        <v>1404299.0463775559</v>
      </c>
      <c r="AU5" s="73"/>
      <c r="AV5" s="70"/>
    </row>
    <row r="6" spans="1:48" x14ac:dyDescent="0.25">
      <c r="A6" s="60" t="s">
        <v>2</v>
      </c>
      <c r="B6" s="18">
        <v>97051</v>
      </c>
      <c r="C6" s="5">
        <f>(B6*15)/100+B6</f>
        <v>111608.65</v>
      </c>
      <c r="D6" s="5">
        <f>(B6*25)/100+B6</f>
        <v>121313.75</v>
      </c>
      <c r="E6" s="5">
        <f>(B6*35)/100+B6</f>
        <v>131018.85</v>
      </c>
      <c r="F6" s="13">
        <f>(B6*57.82)/100+B6</f>
        <v>153165.88819999999</v>
      </c>
      <c r="G6" s="6">
        <f t="shared" ref="G6:G7" si="0">(F6*10)/100+F6</f>
        <v>168482.47701999999</v>
      </c>
      <c r="H6" s="4">
        <f t="shared" ref="H6:H7" si="1">(F6*20)/100+F6</f>
        <v>183799.06584</v>
      </c>
      <c r="I6" s="126"/>
      <c r="J6" s="105"/>
      <c r="K6" s="4">
        <f t="shared" ref="K6:K7" si="2">(F6*30)/100+F6</f>
        <v>199115.65466</v>
      </c>
      <c r="L6" s="42">
        <f t="shared" ref="L6:L7" si="3">F6*45/100+F6</f>
        <v>222090.53788999998</v>
      </c>
      <c r="M6" s="61">
        <f t="shared" ref="M6:M7" si="4">F6*60/100+F6</f>
        <v>245065.42111999998</v>
      </c>
      <c r="N6" s="123"/>
      <c r="O6" s="42">
        <f t="shared" ref="O6:O7" si="5">F6*70/100+F6</f>
        <v>260382.00993999996</v>
      </c>
      <c r="P6" s="42">
        <f t="shared" ref="P6:P7" si="6">F6*80/100+F6</f>
        <v>275698.59875999996</v>
      </c>
      <c r="Q6" s="62">
        <f t="shared" ref="Q6:Q8" si="7">F6*19/100</f>
        <v>29101.518757999995</v>
      </c>
      <c r="R6" s="42">
        <f t="shared" ref="R6:R8" si="8">F6*108.8/100+F6</f>
        <v>319810.37456159992</v>
      </c>
      <c r="S6" s="120"/>
      <c r="T6" s="12">
        <f t="shared" ref="T6:T8" si="9">R6*11/100+R6</f>
        <v>354989.51576337591</v>
      </c>
      <c r="U6" s="105"/>
      <c r="V6" s="3">
        <f t="shared" ref="V6:V8" si="10">R6*25/100+R6</f>
        <v>399762.9682019999</v>
      </c>
      <c r="W6" s="105"/>
      <c r="X6" s="105"/>
      <c r="Y6" s="3">
        <f t="shared" ref="Y6:Y8" si="11">R6*40/100+R6</f>
        <v>447734.52438623988</v>
      </c>
      <c r="Z6" s="105"/>
      <c r="AA6" s="3">
        <f t="shared" ref="AA6:AA8" si="12">R6*52.5/100+R6</f>
        <v>487710.82120643987</v>
      </c>
      <c r="AB6" s="3">
        <f t="shared" ref="AB6:AB8" si="13">R6*70/100+R6</f>
        <v>543677.63675471989</v>
      </c>
      <c r="AC6" s="105"/>
      <c r="AD6" s="3">
        <f t="shared" ref="AD6:AD8" si="14">R6*93.1/100+R6</f>
        <v>617553.83327844949</v>
      </c>
      <c r="AE6" s="105"/>
      <c r="AF6" s="3">
        <f t="shared" ref="AF6:AF8" si="15">R6*148.1/100+R6</f>
        <v>793449.53928732942</v>
      </c>
      <c r="AG6" s="105"/>
      <c r="AH6" s="105"/>
      <c r="AI6" s="58">
        <f t="shared" ref="AI6:AI8" si="16">R6*184.5/100+R6</f>
        <v>909860.51562775183</v>
      </c>
      <c r="AJ6" s="105"/>
      <c r="AK6" s="77">
        <f t="shared" ref="AK6:AK8" si="17">R6*197/100+R6</f>
        <v>949836.81244795176</v>
      </c>
      <c r="AL6" s="166">
        <f t="shared" ref="AL6:AL8" si="18">R6*257.48/100+R6</f>
        <v>1143258.1269828076</v>
      </c>
      <c r="AM6" s="81">
        <f t="shared" ref="AM6:AM9" si="19">AL6*8.8/100+AL6</f>
        <v>1243864.8421572947</v>
      </c>
      <c r="AN6" s="80">
        <f t="shared" ref="AN6:AN8" si="20">AL6*13.37/100+AL6</f>
        <v>1296111.7385604091</v>
      </c>
      <c r="AO6" s="14">
        <f t="shared" ref="AO6:AO8" si="21">AL6*28.51/100+AL6</f>
        <v>1469201.018985606</v>
      </c>
      <c r="AP6" s="14">
        <f t="shared" ref="AP6:AP8" si="22">AL6*32.51/100+AL6</f>
        <v>1514931.3440649183</v>
      </c>
      <c r="AQ6" s="14">
        <f>AL6*36.6/100+AL6</f>
        <v>1561690.6014585153</v>
      </c>
      <c r="AR6" s="14">
        <f t="shared" ref="AR6:AR8" si="23">AL6*40.6/100+AL6</f>
        <v>1607420.9265378276</v>
      </c>
      <c r="AS6" s="14">
        <f t="shared" ref="AS6:AS8" si="24">AL6*43.6/100+AL6</f>
        <v>1641718.6703473118</v>
      </c>
      <c r="AT6" s="14">
        <f t="shared" ref="AT6:AT8" si="25">AL6*46.6/100+AL6</f>
        <v>1676016.4141567959</v>
      </c>
      <c r="AU6" s="73"/>
      <c r="AV6" s="70"/>
    </row>
    <row r="7" spans="1:48" ht="15.75" thickBot="1" x14ac:dyDescent="0.3">
      <c r="A7" s="63" t="s">
        <v>3</v>
      </c>
      <c r="B7" s="21">
        <v>115060</v>
      </c>
      <c r="C7" s="22">
        <f>(B7*15)/100+B7</f>
        <v>132319</v>
      </c>
      <c r="D7" s="22">
        <f>(B7*25)/100+B7</f>
        <v>143825</v>
      </c>
      <c r="E7" s="22">
        <f>(B7*35)/100+B7</f>
        <v>155331</v>
      </c>
      <c r="F7" s="23">
        <f>(B7*57.82)/100+B7</f>
        <v>181587.69199999998</v>
      </c>
      <c r="G7" s="6">
        <f t="shared" si="0"/>
        <v>199746.46119999999</v>
      </c>
      <c r="H7" s="4">
        <f t="shared" si="1"/>
        <v>217905.23039999997</v>
      </c>
      <c r="I7" s="126"/>
      <c r="J7" s="105"/>
      <c r="K7" s="4">
        <f t="shared" si="2"/>
        <v>236063.99959999998</v>
      </c>
      <c r="L7" s="42">
        <f t="shared" si="3"/>
        <v>263302.15339999995</v>
      </c>
      <c r="M7" s="61">
        <f t="shared" si="4"/>
        <v>290540.30719999998</v>
      </c>
      <c r="N7" s="123"/>
      <c r="O7" s="42">
        <f t="shared" si="5"/>
        <v>308699.07639999996</v>
      </c>
      <c r="P7" s="42">
        <f t="shared" si="6"/>
        <v>326857.8456</v>
      </c>
      <c r="Q7" s="62">
        <f t="shared" si="7"/>
        <v>34501.661479999995</v>
      </c>
      <c r="R7" s="42">
        <f t="shared" si="8"/>
        <v>379155.10089599993</v>
      </c>
      <c r="S7" s="120"/>
      <c r="T7" s="12">
        <f t="shared" si="9"/>
        <v>420862.16199455992</v>
      </c>
      <c r="U7" s="105"/>
      <c r="V7" s="3">
        <f t="shared" si="10"/>
        <v>473943.87611999991</v>
      </c>
      <c r="W7" s="105"/>
      <c r="X7" s="105"/>
      <c r="Y7" s="3">
        <f t="shared" si="11"/>
        <v>530817.1412543999</v>
      </c>
      <c r="Z7" s="105"/>
      <c r="AA7" s="3">
        <f t="shared" si="12"/>
        <v>578211.52886639989</v>
      </c>
      <c r="AB7" s="3">
        <f t="shared" si="13"/>
        <v>644563.67152319988</v>
      </c>
      <c r="AC7" s="105"/>
      <c r="AD7" s="3">
        <f t="shared" si="14"/>
        <v>732148.49983017589</v>
      </c>
      <c r="AE7" s="105"/>
      <c r="AF7" s="3">
        <f t="shared" si="15"/>
        <v>940683.80532297574</v>
      </c>
      <c r="AG7" s="105"/>
      <c r="AH7" s="105"/>
      <c r="AI7" s="58">
        <f t="shared" si="16"/>
        <v>1078696.2620491197</v>
      </c>
      <c r="AJ7" s="105"/>
      <c r="AK7" s="77">
        <f t="shared" si="17"/>
        <v>1126090.6496611198</v>
      </c>
      <c r="AL7" s="166">
        <f t="shared" si="18"/>
        <v>1355403.6546830207</v>
      </c>
      <c r="AM7" s="81">
        <f t="shared" si="19"/>
        <v>1474679.1762951266</v>
      </c>
      <c r="AN7" s="80">
        <f t="shared" si="20"/>
        <v>1536621.1233141406</v>
      </c>
      <c r="AO7" s="14">
        <f t="shared" si="21"/>
        <v>1741829.2366331499</v>
      </c>
      <c r="AP7" s="14">
        <f t="shared" si="22"/>
        <v>1796045.3828204707</v>
      </c>
      <c r="AQ7" s="14">
        <f>AL7*36.6/100+AL7</f>
        <v>1851481.3922970062</v>
      </c>
      <c r="AR7" s="14">
        <f t="shared" si="23"/>
        <v>1905697.538484327</v>
      </c>
      <c r="AS7" s="14">
        <f t="shared" si="24"/>
        <v>1946359.6481248178</v>
      </c>
      <c r="AT7" s="14">
        <f t="shared" si="25"/>
        <v>1987021.7577653085</v>
      </c>
      <c r="AU7" s="73"/>
      <c r="AV7" s="70"/>
    </row>
    <row r="8" spans="1:48" x14ac:dyDescent="0.25">
      <c r="A8" s="82" t="s">
        <v>42</v>
      </c>
      <c r="B8" s="83">
        <f t="shared" ref="B8:H8" si="26">B5/25</f>
        <v>3252.68</v>
      </c>
      <c r="C8" s="84">
        <f t="shared" si="26"/>
        <v>3740.5820000000003</v>
      </c>
      <c r="D8" s="84">
        <f t="shared" si="26"/>
        <v>4065.85</v>
      </c>
      <c r="E8" s="84">
        <f t="shared" si="26"/>
        <v>4391.1179999999995</v>
      </c>
      <c r="F8" s="85">
        <f t="shared" si="26"/>
        <v>5133.3795760000003</v>
      </c>
      <c r="G8" s="86">
        <f t="shared" si="26"/>
        <v>5646.7175336</v>
      </c>
      <c r="H8" s="22">
        <f t="shared" si="26"/>
        <v>6160.0554911999998</v>
      </c>
      <c r="I8" s="126"/>
      <c r="J8" s="105"/>
      <c r="K8" s="22">
        <f>K5/25</f>
        <v>6673.3934487999995</v>
      </c>
      <c r="L8" s="22">
        <f>L5/25</f>
        <v>7443.4003852000005</v>
      </c>
      <c r="M8" s="22">
        <f>M5/25</f>
        <v>8213.4073215999997</v>
      </c>
      <c r="N8" s="123"/>
      <c r="O8" s="22">
        <f>O5/25</f>
        <v>8726.7452792000004</v>
      </c>
      <c r="P8" s="22">
        <f>P5/25</f>
        <v>9240.083236800001</v>
      </c>
      <c r="Q8" s="87">
        <f t="shared" si="7"/>
        <v>975.34211944000015</v>
      </c>
      <c r="R8" s="88">
        <f t="shared" si="8"/>
        <v>10718.496554688001</v>
      </c>
      <c r="S8" s="120"/>
      <c r="T8" s="28">
        <f t="shared" si="9"/>
        <v>11897.531175703682</v>
      </c>
      <c r="U8" s="105"/>
      <c r="V8" s="27">
        <f t="shared" si="10"/>
        <v>13398.120693360001</v>
      </c>
      <c r="W8" s="105"/>
      <c r="X8" s="105"/>
      <c r="Y8" s="27">
        <f t="shared" si="11"/>
        <v>15005.895176563201</v>
      </c>
      <c r="Z8" s="105"/>
      <c r="AA8" s="27">
        <f t="shared" si="12"/>
        <v>16345.707245899201</v>
      </c>
      <c r="AB8" s="27">
        <f t="shared" si="13"/>
        <v>18221.444142969602</v>
      </c>
      <c r="AC8" s="105"/>
      <c r="AD8" s="27">
        <f t="shared" si="14"/>
        <v>20697.41684710253</v>
      </c>
      <c r="AE8" s="105"/>
      <c r="AF8" s="27">
        <f t="shared" si="15"/>
        <v>26592.58995218093</v>
      </c>
      <c r="AG8" s="105"/>
      <c r="AH8" s="105"/>
      <c r="AI8" s="89">
        <f t="shared" si="16"/>
        <v>30494.122698087365</v>
      </c>
      <c r="AJ8" s="105"/>
      <c r="AK8" s="90">
        <f t="shared" si="17"/>
        <v>31833.934767423365</v>
      </c>
      <c r="AL8" s="167">
        <f t="shared" si="18"/>
        <v>38316.48148369867</v>
      </c>
      <c r="AM8" s="91">
        <f t="shared" si="19"/>
        <v>41688.33185426415</v>
      </c>
      <c r="AN8" s="92">
        <f t="shared" si="20"/>
        <v>43439.395058069182</v>
      </c>
      <c r="AO8" s="29">
        <f t="shared" si="21"/>
        <v>49240.51035470116</v>
      </c>
      <c r="AP8" s="14">
        <f t="shared" si="22"/>
        <v>50773.169614049104</v>
      </c>
      <c r="AQ8" s="14">
        <f>AL8*36.6/100+AL8</f>
        <v>52340.313706732384</v>
      </c>
      <c r="AR8" s="14">
        <f t="shared" si="23"/>
        <v>53872.972966080328</v>
      </c>
      <c r="AS8" s="14">
        <f t="shared" si="24"/>
        <v>55022.467410591285</v>
      </c>
      <c r="AT8" s="14">
        <f t="shared" si="25"/>
        <v>56171.96185510225</v>
      </c>
      <c r="AU8" s="93"/>
      <c r="AV8" s="94"/>
    </row>
    <row r="9" spans="1:48" ht="15.75" thickBot="1" x14ac:dyDescent="0.3">
      <c r="A9" s="95" t="s">
        <v>78</v>
      </c>
      <c r="B9" s="96"/>
      <c r="C9" s="96"/>
      <c r="D9" s="96"/>
      <c r="E9" s="96"/>
      <c r="F9" s="96"/>
      <c r="G9" s="96"/>
      <c r="H9" s="96"/>
      <c r="I9" s="127"/>
      <c r="J9" s="106"/>
      <c r="K9" s="96"/>
      <c r="L9" s="96"/>
      <c r="M9" s="96"/>
      <c r="N9" s="124"/>
      <c r="O9" s="96"/>
      <c r="P9" s="96"/>
      <c r="Q9" s="102"/>
      <c r="R9" s="103"/>
      <c r="S9" s="121"/>
      <c r="T9" s="79"/>
      <c r="U9" s="106"/>
      <c r="V9" s="79"/>
      <c r="W9" s="106"/>
      <c r="X9" s="106"/>
      <c r="Y9" s="79"/>
      <c r="Z9" s="106"/>
      <c r="AA9" s="79"/>
      <c r="AB9" s="79"/>
      <c r="AC9" s="106"/>
      <c r="AD9" s="79"/>
      <c r="AE9" s="106"/>
      <c r="AF9" s="79"/>
      <c r="AG9" s="106"/>
      <c r="AH9" s="106"/>
      <c r="AI9" s="79"/>
      <c r="AJ9" s="106"/>
      <c r="AK9" s="79"/>
      <c r="AL9" s="168">
        <v>478262</v>
      </c>
      <c r="AM9" s="97">
        <f t="shared" si="19"/>
        <v>520349.05599999998</v>
      </c>
      <c r="AN9" s="98">
        <f>AL9*4.57/100</f>
        <v>21856.573400000005</v>
      </c>
      <c r="AO9" s="99">
        <f>AL9*15.14/100</f>
        <v>72408.866800000003</v>
      </c>
      <c r="AP9" s="99">
        <f>AL9*4/100</f>
        <v>19130.48</v>
      </c>
      <c r="AQ9" s="99">
        <f>AL9*4.09/100</f>
        <v>19560.915799999999</v>
      </c>
      <c r="AR9" s="99">
        <f>AL9*4/100</f>
        <v>19130.48</v>
      </c>
      <c r="AS9" s="99">
        <f>AL9*3/100</f>
        <v>14347.86</v>
      </c>
      <c r="AT9" s="99">
        <f>AL9*3/100</f>
        <v>14347.86</v>
      </c>
      <c r="AU9" s="100"/>
      <c r="AV9" s="101"/>
    </row>
    <row r="10" spans="1:48" ht="15.75" thickBot="1" x14ac:dyDescent="0.3">
      <c r="K10" s="1"/>
      <c r="N10" s="64"/>
      <c r="AG10" s="65"/>
      <c r="AH10" s="54" t="s">
        <v>68</v>
      </c>
    </row>
    <row r="11" spans="1:48" ht="35.1" customHeight="1" thickBot="1" x14ac:dyDescent="0.3">
      <c r="A11" s="133" t="s">
        <v>22</v>
      </c>
      <c r="B11" s="134"/>
      <c r="C11" s="134"/>
      <c r="D11" s="134"/>
      <c r="E11" s="134"/>
      <c r="F11" s="134"/>
      <c r="G11" s="135"/>
      <c r="H11" s="147" t="s">
        <v>29</v>
      </c>
      <c r="I11" s="148"/>
      <c r="J11" s="148"/>
      <c r="K11" s="148"/>
      <c r="L11" s="148"/>
      <c r="M11" s="148"/>
      <c r="N11" s="148"/>
      <c r="O11" s="148"/>
      <c r="P11" s="149"/>
      <c r="Q11" s="116" t="s">
        <v>51</v>
      </c>
      <c r="R11" s="117"/>
      <c r="S11" s="117"/>
      <c r="T11" s="117"/>
      <c r="U11" s="117"/>
      <c r="V11" s="117"/>
      <c r="W11" s="117"/>
      <c r="X11" s="117"/>
      <c r="Y11" s="117"/>
      <c r="Z11" s="118"/>
      <c r="AA11" s="107" t="s">
        <v>79</v>
      </c>
      <c r="AB11" s="108"/>
      <c r="AC11" s="108"/>
      <c r="AD11" s="108"/>
      <c r="AE11" s="108"/>
      <c r="AF11" s="108"/>
      <c r="AG11" s="108"/>
      <c r="AH11" s="109"/>
      <c r="AJ11" s="64"/>
      <c r="AP11" s="170"/>
      <c r="AR11" s="170"/>
      <c r="AS11" s="169"/>
    </row>
    <row r="12" spans="1:48" ht="63" x14ac:dyDescent="0.25">
      <c r="A12" s="30" t="s">
        <v>35</v>
      </c>
      <c r="B12" s="31" t="s">
        <v>6</v>
      </c>
      <c r="C12" s="16" t="s">
        <v>18</v>
      </c>
      <c r="D12" s="15" t="s">
        <v>5</v>
      </c>
      <c r="E12" s="15" t="s">
        <v>17</v>
      </c>
      <c r="F12" s="15" t="s">
        <v>19</v>
      </c>
      <c r="G12" s="34" t="s">
        <v>21</v>
      </c>
      <c r="H12" s="32" t="s">
        <v>24</v>
      </c>
      <c r="I12" s="15" t="s">
        <v>25</v>
      </c>
      <c r="J12" s="15" t="s">
        <v>26</v>
      </c>
      <c r="K12" s="15" t="s">
        <v>36</v>
      </c>
      <c r="L12" s="15" t="s">
        <v>37</v>
      </c>
      <c r="M12" s="15" t="s">
        <v>38</v>
      </c>
      <c r="N12" s="15" t="s">
        <v>57</v>
      </c>
      <c r="O12" s="33" t="s">
        <v>40</v>
      </c>
      <c r="P12" s="44" t="s">
        <v>56</v>
      </c>
      <c r="Q12" s="20" t="s">
        <v>52</v>
      </c>
      <c r="R12" s="50" t="s">
        <v>53</v>
      </c>
      <c r="S12" s="51" t="s">
        <v>60</v>
      </c>
      <c r="T12" s="51" t="s">
        <v>61</v>
      </c>
      <c r="U12" s="51" t="s">
        <v>62</v>
      </c>
      <c r="V12" s="52" t="s">
        <v>64</v>
      </c>
      <c r="W12" s="51" t="s">
        <v>67</v>
      </c>
      <c r="X12" s="53" t="s">
        <v>69</v>
      </c>
      <c r="Y12" s="76" t="s">
        <v>70</v>
      </c>
      <c r="Z12" s="173" t="s">
        <v>82</v>
      </c>
      <c r="AA12" s="74" t="s">
        <v>76</v>
      </c>
      <c r="AB12" s="75" t="s">
        <v>81</v>
      </c>
      <c r="AC12" s="75" t="s">
        <v>83</v>
      </c>
      <c r="AD12" s="75" t="s">
        <v>84</v>
      </c>
      <c r="AE12" s="75" t="s">
        <v>85</v>
      </c>
      <c r="AF12" s="75" t="s">
        <v>86</v>
      </c>
      <c r="AG12" s="75" t="s">
        <v>87</v>
      </c>
      <c r="AH12" s="172" t="s">
        <v>88</v>
      </c>
      <c r="AO12" s="171"/>
      <c r="AR12" s="169"/>
    </row>
    <row r="13" spans="1:48" ht="45" x14ac:dyDescent="0.25">
      <c r="A13" s="10" t="s">
        <v>7</v>
      </c>
      <c r="B13" s="8" t="s">
        <v>12</v>
      </c>
      <c r="C13" s="7">
        <v>830</v>
      </c>
      <c r="D13" s="3">
        <v>955</v>
      </c>
      <c r="E13" s="3">
        <v>1038</v>
      </c>
      <c r="F13" s="3">
        <v>1121</v>
      </c>
      <c r="G13" s="35">
        <f>(C13*57.82)/100+C13</f>
        <v>1309.9059999999999</v>
      </c>
      <c r="H13" s="12">
        <f>(G13*10)/100+G13</f>
        <v>1440.8966</v>
      </c>
      <c r="I13" s="3">
        <f t="shared" ref="I13:I17" si="27">(G13*20)/100+G13</f>
        <v>1571.8871999999999</v>
      </c>
      <c r="J13" s="3">
        <f t="shared" ref="J13:J17" si="28">(G13*30)/100+G13</f>
        <v>1702.8778</v>
      </c>
      <c r="K13" s="14">
        <f>G13*45/100+G13</f>
        <v>1899.3636999999999</v>
      </c>
      <c r="L13" s="14">
        <f>G13*60/100+G13</f>
        <v>2095.8496</v>
      </c>
      <c r="M13" s="14">
        <f>G13*70/100+G13</f>
        <v>2226.8402000000001</v>
      </c>
      <c r="N13" s="14">
        <f>G13*80/100+G13</f>
        <v>2357.8307999999997</v>
      </c>
      <c r="O13" s="41">
        <f>H13*19/100</f>
        <v>273.770354</v>
      </c>
      <c r="P13" s="45">
        <f>G13*108.8/100+G13</f>
        <v>2735.0837279999996</v>
      </c>
      <c r="Q13" s="55">
        <f>P13*11/100+P13</f>
        <v>3035.9429380799997</v>
      </c>
      <c r="R13" s="14">
        <f>P13*25/100+P13</f>
        <v>3418.8546599999995</v>
      </c>
      <c r="S13" s="3">
        <f>P13*40/100+P13</f>
        <v>3829.1172191999995</v>
      </c>
      <c r="T13" s="3">
        <f>P13*52.5/100+P13</f>
        <v>4171.0026851999992</v>
      </c>
      <c r="U13" s="3">
        <v>4651</v>
      </c>
      <c r="V13" s="3">
        <v>5283</v>
      </c>
      <c r="W13" s="3">
        <f>P13*148.1/100+P13</f>
        <v>6785.7427291679987</v>
      </c>
      <c r="X13" s="14">
        <f>P13*184.5/100+P13</f>
        <v>7781.313206159999</v>
      </c>
      <c r="Y13" s="77">
        <f>P13*197/100+P13</f>
        <v>8123.1986721599997</v>
      </c>
      <c r="Z13" s="174">
        <v>9781</v>
      </c>
      <c r="AA13" s="12">
        <f>Z13*8.8/100+Z13</f>
        <v>10641.727999999999</v>
      </c>
      <c r="AB13" s="3">
        <f>Z13*13.37/100+Z13</f>
        <v>11088.7197</v>
      </c>
      <c r="AC13" s="3">
        <f>Z13*28.51/100+Z13</f>
        <v>12569.563099999999</v>
      </c>
      <c r="AD13" s="3">
        <f>Z13*32.51/100+Z13</f>
        <v>12960.803100000001</v>
      </c>
      <c r="AE13" s="14">
        <f>Z13*36.6/100+Z13</f>
        <v>13360.846000000001</v>
      </c>
      <c r="AF13" s="3">
        <f>Z13*40.6/100+Z13</f>
        <v>13752.085999999999</v>
      </c>
      <c r="AG13" s="3">
        <f>Z13*43.6/100+Z13</f>
        <v>14045.516</v>
      </c>
      <c r="AH13" s="35">
        <f>Z13*46.6/100+Z13</f>
        <v>14338.946</v>
      </c>
      <c r="AI13" s="56"/>
      <c r="AJ13" s="56"/>
      <c r="AK13" s="56"/>
      <c r="AL13" s="56"/>
      <c r="AM13" s="56"/>
    </row>
    <row r="14" spans="1:48" ht="60" x14ac:dyDescent="0.25">
      <c r="A14" s="10" t="s">
        <v>8</v>
      </c>
      <c r="B14" s="8" t="s">
        <v>13</v>
      </c>
      <c r="C14" s="7">
        <v>1510</v>
      </c>
      <c r="D14" s="3">
        <f>(C14*15)/100+C14</f>
        <v>1736.5</v>
      </c>
      <c r="E14" s="3">
        <f>(C14*25)/100+C14</f>
        <v>1887.5</v>
      </c>
      <c r="F14" s="3">
        <f>(C14*35)/100+C14</f>
        <v>2038.5</v>
      </c>
      <c r="G14" s="35">
        <f>(C14*57.82)/100+C14</f>
        <v>2383.0819999999999</v>
      </c>
      <c r="H14" s="12">
        <f t="shared" ref="H14:H17" si="29">(G14*10)/100+G14</f>
        <v>2621.3901999999998</v>
      </c>
      <c r="I14" s="3">
        <f t="shared" si="27"/>
        <v>2859.6983999999998</v>
      </c>
      <c r="J14" s="3">
        <f t="shared" si="28"/>
        <v>3098.0065999999997</v>
      </c>
      <c r="K14" s="14">
        <f t="shared" ref="K14:K17" si="30">G14*45/100+G14</f>
        <v>3455.4688999999998</v>
      </c>
      <c r="L14" s="14">
        <f t="shared" ref="L14:L17" si="31">G14*60/100+G14</f>
        <v>3812.9312</v>
      </c>
      <c r="M14" s="14">
        <f t="shared" ref="M14:M17" si="32">G14*70/100+G14</f>
        <v>4051.2393999999995</v>
      </c>
      <c r="N14" s="14">
        <f t="shared" ref="N14:N17" si="33">G14*80/100+G14</f>
        <v>4289.5475999999999</v>
      </c>
      <c r="O14" s="41">
        <f t="shared" ref="O14:O17" si="34">H14*19/100</f>
        <v>498.06413799999996</v>
      </c>
      <c r="P14" s="45">
        <f t="shared" ref="P14:P18" si="35">G14*108.8/100+G14</f>
        <v>4975.8752159999995</v>
      </c>
      <c r="Q14" s="55">
        <f t="shared" ref="Q14:Q17" si="36">P14*11/100+P14</f>
        <v>5523.2214897599997</v>
      </c>
      <c r="R14" s="14">
        <f t="shared" ref="R14:R17" si="37">P14*25/100+P14</f>
        <v>6219.8440199999995</v>
      </c>
      <c r="S14" s="3">
        <f t="shared" ref="S14:S18" si="38">P14*40/100+P14</f>
        <v>6966.2253023999992</v>
      </c>
      <c r="T14" s="3">
        <f t="shared" ref="T14:T18" si="39">P14*52.5/100+P14</f>
        <v>7588.2097043999993</v>
      </c>
      <c r="U14" s="3">
        <v>8457</v>
      </c>
      <c r="V14" s="3">
        <v>9606</v>
      </c>
      <c r="W14" s="3">
        <f t="shared" ref="W14:W18" si="40">P14*148.1/100+P14</f>
        <v>12345.146410895999</v>
      </c>
      <c r="X14" s="14">
        <f t="shared" ref="X14:X18" si="41">P14*184.5/100+P14</f>
        <v>14156.36498952</v>
      </c>
      <c r="Y14" s="77">
        <f t="shared" ref="Y14:Y18" si="42">P14*197/100+P14</f>
        <v>14778.349391519998</v>
      </c>
      <c r="Z14" s="174">
        <v>17784</v>
      </c>
      <c r="AA14" s="12">
        <f t="shared" ref="AA14:AA18" si="43">Z14*8.8/100+Z14</f>
        <v>19348.991999999998</v>
      </c>
      <c r="AB14" s="3">
        <f t="shared" ref="AB14:AB18" si="44">Z14*13.37/100+Z14</f>
        <v>20161.720799999999</v>
      </c>
      <c r="AC14" s="3">
        <f t="shared" ref="AC14:AC18" si="45">Z14*28.51/100+Z14</f>
        <v>22854.218400000002</v>
      </c>
      <c r="AD14" s="3">
        <f t="shared" ref="AD14:AD18" si="46">Z14*32.51/100+Z14</f>
        <v>23565.578399999999</v>
      </c>
      <c r="AE14" s="14">
        <f t="shared" ref="AE14:AE18" si="47">Z14*36.6/100+AA14</f>
        <v>25857.935999999998</v>
      </c>
      <c r="AF14" s="3">
        <f t="shared" ref="AF14:AF18" si="48">Z14*40.6/100+Z14</f>
        <v>25004.304</v>
      </c>
      <c r="AG14" s="3">
        <f t="shared" ref="AG14:AG18" si="49">Z14*43.6/100+Z14</f>
        <v>25537.824000000001</v>
      </c>
      <c r="AH14" s="35">
        <f t="shared" ref="AH14:AH18" si="50">Z14*46.6/100+Z14</f>
        <v>26071.344000000001</v>
      </c>
      <c r="AI14" s="56"/>
      <c r="AJ14" s="56"/>
      <c r="AK14" s="56"/>
      <c r="AL14" s="56"/>
      <c r="AM14" s="56"/>
    </row>
    <row r="15" spans="1:48" x14ac:dyDescent="0.25">
      <c r="A15" s="11" t="s">
        <v>9</v>
      </c>
      <c r="B15" s="9" t="s">
        <v>14</v>
      </c>
      <c r="C15" s="7">
        <v>4828</v>
      </c>
      <c r="D15" s="3">
        <f>(C15*15)/100+C15</f>
        <v>5552.2</v>
      </c>
      <c r="E15" s="3">
        <f>(C15*25)/100+C15</f>
        <v>6035</v>
      </c>
      <c r="F15" s="3">
        <f>(C15*35)/100+C15</f>
        <v>6517.8</v>
      </c>
      <c r="G15" s="35">
        <f>(C15*57.82)/100+C15</f>
        <v>7619.5496000000003</v>
      </c>
      <c r="H15" s="12">
        <f t="shared" si="29"/>
        <v>8381.5045600000012</v>
      </c>
      <c r="I15" s="3">
        <f t="shared" si="27"/>
        <v>9143.4595200000003</v>
      </c>
      <c r="J15" s="3">
        <f t="shared" si="28"/>
        <v>9905.4144799999995</v>
      </c>
      <c r="K15" s="14">
        <f t="shared" si="30"/>
        <v>11048.34692</v>
      </c>
      <c r="L15" s="14">
        <f t="shared" si="31"/>
        <v>12191.27936</v>
      </c>
      <c r="M15" s="14">
        <f t="shared" si="32"/>
        <v>12953.234320000001</v>
      </c>
      <c r="N15" s="14">
        <f t="shared" si="33"/>
        <v>13715.189280000001</v>
      </c>
      <c r="O15" s="41">
        <f t="shared" si="34"/>
        <v>1592.4858664000003</v>
      </c>
      <c r="P15" s="45">
        <f t="shared" si="35"/>
        <v>15909.619564799999</v>
      </c>
      <c r="Q15" s="55">
        <f t="shared" si="36"/>
        <v>17659.677716927999</v>
      </c>
      <c r="R15" s="14">
        <f t="shared" si="37"/>
        <v>19887.024455999999</v>
      </c>
      <c r="S15" s="3">
        <f t="shared" si="38"/>
        <v>22273.467390719998</v>
      </c>
      <c r="T15" s="3">
        <f t="shared" si="39"/>
        <v>24262.169836319998</v>
      </c>
      <c r="U15" s="3">
        <v>27043</v>
      </c>
      <c r="V15" s="3">
        <v>30718</v>
      </c>
      <c r="W15" s="3">
        <f t="shared" si="40"/>
        <v>39471.766140268795</v>
      </c>
      <c r="X15" s="14">
        <f t="shared" si="41"/>
        <v>45262.867661855998</v>
      </c>
      <c r="Y15" s="77">
        <f t="shared" si="42"/>
        <v>47251.570107455991</v>
      </c>
      <c r="Z15" s="174">
        <v>56868</v>
      </c>
      <c r="AA15" s="12">
        <f t="shared" si="43"/>
        <v>61872.383999999998</v>
      </c>
      <c r="AB15" s="3">
        <f t="shared" si="44"/>
        <v>64471.251600000003</v>
      </c>
      <c r="AC15" s="3">
        <f t="shared" si="45"/>
        <v>73081.066800000001</v>
      </c>
      <c r="AD15" s="3">
        <f t="shared" si="46"/>
        <v>75355.786800000002</v>
      </c>
      <c r="AE15" s="14">
        <f t="shared" si="47"/>
        <v>82686.072</v>
      </c>
      <c r="AF15" s="3">
        <f t="shared" si="48"/>
        <v>79956.407999999996</v>
      </c>
      <c r="AG15" s="3">
        <f t="shared" si="49"/>
        <v>81662.448000000004</v>
      </c>
      <c r="AH15" s="35">
        <f t="shared" si="50"/>
        <v>83368.487999999998</v>
      </c>
      <c r="AI15" s="56"/>
      <c r="AJ15" s="56"/>
      <c r="AK15" s="56"/>
      <c r="AL15" s="56"/>
      <c r="AM15" s="56"/>
    </row>
    <row r="16" spans="1:48" ht="30" x14ac:dyDescent="0.25">
      <c r="A16" s="10" t="s">
        <v>10</v>
      </c>
      <c r="B16" s="8" t="s">
        <v>15</v>
      </c>
      <c r="C16" s="7">
        <v>1011</v>
      </c>
      <c r="D16" s="3">
        <f>(C16*15)/100+C16</f>
        <v>1162.6500000000001</v>
      </c>
      <c r="E16" s="3">
        <f>(C16*25)/100+C16</f>
        <v>1263.75</v>
      </c>
      <c r="F16" s="3">
        <f>(C16*35)/100+C16</f>
        <v>1364.85</v>
      </c>
      <c r="G16" s="35">
        <f>(C16*57.82)/100+C16</f>
        <v>1595.5601999999999</v>
      </c>
      <c r="H16" s="12">
        <f t="shared" si="29"/>
        <v>1755.1162199999999</v>
      </c>
      <c r="I16" s="3">
        <f t="shared" si="27"/>
        <v>1914.6722399999999</v>
      </c>
      <c r="J16" s="3">
        <f t="shared" si="28"/>
        <v>2074.2282599999999</v>
      </c>
      <c r="K16" s="42">
        <v>2873</v>
      </c>
      <c r="L16" s="42">
        <v>2873</v>
      </c>
      <c r="M16" s="42">
        <v>2873</v>
      </c>
      <c r="N16" s="42">
        <v>2873</v>
      </c>
      <c r="O16" s="41">
        <f t="shared" si="34"/>
        <v>333.47208180000001</v>
      </c>
      <c r="P16" s="45">
        <f t="shared" si="35"/>
        <v>3331.5296976</v>
      </c>
      <c r="Q16" s="55">
        <f t="shared" si="36"/>
        <v>3697.9979643360002</v>
      </c>
      <c r="R16" s="14">
        <f t="shared" si="37"/>
        <v>4164.4121219999997</v>
      </c>
      <c r="S16" s="3">
        <v>6914</v>
      </c>
      <c r="T16" s="3">
        <v>6914</v>
      </c>
      <c r="U16" s="3">
        <v>7414</v>
      </c>
      <c r="V16" s="3">
        <v>7851</v>
      </c>
      <c r="W16" s="3">
        <v>9184</v>
      </c>
      <c r="X16" s="14">
        <v>10396</v>
      </c>
      <c r="Y16" s="45">
        <v>10396</v>
      </c>
      <c r="Z16" s="174">
        <v>11911</v>
      </c>
      <c r="AA16" s="12">
        <f t="shared" si="43"/>
        <v>12959.168</v>
      </c>
      <c r="AB16" s="3">
        <f t="shared" si="44"/>
        <v>13503.500700000001</v>
      </c>
      <c r="AC16" s="3">
        <f t="shared" si="45"/>
        <v>15306.8261</v>
      </c>
      <c r="AD16" s="3">
        <f t="shared" si="46"/>
        <v>15783.266100000001</v>
      </c>
      <c r="AE16" s="14">
        <f t="shared" si="47"/>
        <v>17318.594000000001</v>
      </c>
      <c r="AF16" s="3">
        <f t="shared" si="48"/>
        <v>16746.866000000002</v>
      </c>
      <c r="AG16" s="3">
        <f t="shared" si="49"/>
        <v>17104.196</v>
      </c>
      <c r="AH16" s="35">
        <f t="shared" si="50"/>
        <v>17461.525999999998</v>
      </c>
      <c r="AI16" s="56" t="s">
        <v>89</v>
      </c>
      <c r="AJ16" s="56"/>
      <c r="AK16" s="56"/>
      <c r="AL16" s="56"/>
      <c r="AM16" s="56"/>
    </row>
    <row r="17" spans="1:39" ht="30" x14ac:dyDescent="0.25">
      <c r="A17" s="24" t="s">
        <v>11</v>
      </c>
      <c r="B17" s="25" t="s">
        <v>16</v>
      </c>
      <c r="C17" s="26">
        <v>3543</v>
      </c>
      <c r="D17" s="27">
        <f>(C17*15)/100+C17</f>
        <v>4074.45</v>
      </c>
      <c r="E17" s="27">
        <f>(C17*25)/100+C17</f>
        <v>4428.75</v>
      </c>
      <c r="F17" s="27">
        <f>(C17*35)/100+C17</f>
        <v>4783.05</v>
      </c>
      <c r="G17" s="36">
        <f>(C17*57.82)/100+C17</f>
        <v>5591.5626000000002</v>
      </c>
      <c r="H17" s="28">
        <f t="shared" si="29"/>
        <v>6150.7188599999999</v>
      </c>
      <c r="I17" s="27">
        <f t="shared" si="27"/>
        <v>6709.8751200000006</v>
      </c>
      <c r="J17" s="27">
        <f t="shared" si="28"/>
        <v>7269.0313800000004</v>
      </c>
      <c r="K17" s="29">
        <f t="shared" si="30"/>
        <v>8107.76577</v>
      </c>
      <c r="L17" s="29">
        <f t="shared" si="31"/>
        <v>8946.5001599999996</v>
      </c>
      <c r="M17" s="29">
        <f t="shared" si="32"/>
        <v>9505.6564200000012</v>
      </c>
      <c r="N17" s="29">
        <f t="shared" si="33"/>
        <v>10064.812680000001</v>
      </c>
      <c r="O17" s="43">
        <f t="shared" si="34"/>
        <v>1168.6365833999998</v>
      </c>
      <c r="P17" s="45">
        <f t="shared" si="35"/>
        <v>11675.182708799999</v>
      </c>
      <c r="Q17" s="55">
        <f t="shared" si="36"/>
        <v>12959.452806767998</v>
      </c>
      <c r="R17" s="14">
        <f t="shared" si="37"/>
        <v>14593.978385999999</v>
      </c>
      <c r="S17" s="3">
        <f t="shared" si="38"/>
        <v>16345.255792319998</v>
      </c>
      <c r="T17" s="3">
        <f t="shared" si="39"/>
        <v>17804.653630919998</v>
      </c>
      <c r="U17" s="3">
        <v>19849</v>
      </c>
      <c r="V17" s="3">
        <v>22546</v>
      </c>
      <c r="W17" s="3">
        <f t="shared" si="40"/>
        <v>28966.128300532797</v>
      </c>
      <c r="X17" s="14">
        <f t="shared" si="41"/>
        <v>33215.894806535995</v>
      </c>
      <c r="Y17" s="77">
        <f t="shared" si="42"/>
        <v>34675.292645135996</v>
      </c>
      <c r="Z17" s="174">
        <v>41739</v>
      </c>
      <c r="AA17" s="12">
        <f t="shared" si="43"/>
        <v>45412.031999999999</v>
      </c>
      <c r="AB17" s="3">
        <f t="shared" si="44"/>
        <v>47319.504300000001</v>
      </c>
      <c r="AC17" s="3">
        <f t="shared" si="45"/>
        <v>53638.7889</v>
      </c>
      <c r="AD17" s="3">
        <f t="shared" si="46"/>
        <v>55308.348899999997</v>
      </c>
      <c r="AE17" s="14">
        <f t="shared" si="47"/>
        <v>60688.506000000001</v>
      </c>
      <c r="AF17" s="3">
        <f t="shared" si="48"/>
        <v>58685.034</v>
      </c>
      <c r="AG17" s="3">
        <f t="shared" si="49"/>
        <v>59937.203999999998</v>
      </c>
      <c r="AH17" s="35">
        <f t="shared" si="50"/>
        <v>61189.373999999996</v>
      </c>
      <c r="AI17" s="56"/>
      <c r="AJ17" s="56"/>
      <c r="AK17" s="56"/>
      <c r="AL17" s="56"/>
      <c r="AM17" s="56"/>
    </row>
    <row r="18" spans="1:39" ht="15.75" thickBot="1" x14ac:dyDescent="0.3">
      <c r="A18" s="66" t="s">
        <v>55</v>
      </c>
      <c r="B18" s="67"/>
      <c r="C18" s="67"/>
      <c r="D18" s="67"/>
      <c r="E18" s="67"/>
      <c r="F18" s="67"/>
      <c r="G18" s="40">
        <v>7262</v>
      </c>
      <c r="H18" s="38">
        <f>G18*10/100+G18</f>
        <v>7988.2</v>
      </c>
      <c r="I18" s="39">
        <f>G18*20/100+G18</f>
        <v>8714.4</v>
      </c>
      <c r="J18" s="39">
        <f>G18*30/100+G18</f>
        <v>9440.6</v>
      </c>
      <c r="K18" s="39">
        <f>G18*45/100+G18</f>
        <v>10529.9</v>
      </c>
      <c r="L18" s="39">
        <f>G18*60/100+G18</f>
        <v>11619.2</v>
      </c>
      <c r="M18" s="39">
        <v>11619</v>
      </c>
      <c r="N18" s="39">
        <v>11619</v>
      </c>
      <c r="O18" s="39">
        <v>11619</v>
      </c>
      <c r="P18" s="46">
        <f t="shared" si="35"/>
        <v>15163.056</v>
      </c>
      <c r="Q18" s="38">
        <v>15163.17</v>
      </c>
      <c r="R18" s="39">
        <v>18954</v>
      </c>
      <c r="S18" s="39">
        <f t="shared" si="38"/>
        <v>21228.278399999999</v>
      </c>
      <c r="T18" s="39">
        <f t="shared" si="39"/>
        <v>23123.660400000001</v>
      </c>
      <c r="U18" s="39">
        <f t="shared" ref="U18" si="51">P18*70/100+P18</f>
        <v>25777.195200000002</v>
      </c>
      <c r="V18" s="39">
        <f>P18*93.1/100+P18</f>
        <v>29279.861136</v>
      </c>
      <c r="W18" s="39">
        <f t="shared" si="40"/>
        <v>37619.541935999994</v>
      </c>
      <c r="X18" s="57">
        <f t="shared" si="41"/>
        <v>43138.894319999999</v>
      </c>
      <c r="Y18" s="78">
        <f t="shared" si="42"/>
        <v>45034.276320000004</v>
      </c>
      <c r="Z18" s="175">
        <f t="shared" ref="Z18" si="52">P18*257.48/100+P18</f>
        <v>54204.892588800009</v>
      </c>
      <c r="AA18" s="38">
        <f t="shared" si="43"/>
        <v>58974.923136614409</v>
      </c>
      <c r="AB18" s="39">
        <f t="shared" si="44"/>
        <v>61452.086727922571</v>
      </c>
      <c r="AC18" s="39">
        <f t="shared" si="45"/>
        <v>69658.707465866886</v>
      </c>
      <c r="AD18" s="39">
        <f t="shared" si="46"/>
        <v>71826.903169418889</v>
      </c>
      <c r="AE18" s="57">
        <f t="shared" si="47"/>
        <v>78813.91382411521</v>
      </c>
      <c r="AF18" s="39">
        <f t="shared" si="48"/>
        <v>76212.078979852813</v>
      </c>
      <c r="AG18" s="39">
        <f t="shared" si="49"/>
        <v>77838.225757516804</v>
      </c>
      <c r="AH18" s="40">
        <f t="shared" si="50"/>
        <v>79464.37253518081</v>
      </c>
      <c r="AI18" s="56"/>
      <c r="AJ18" s="56"/>
      <c r="AK18" s="56"/>
      <c r="AL18" s="56"/>
      <c r="AM18" s="56"/>
    </row>
    <row r="19" spans="1:39" ht="15.75" thickBot="1" x14ac:dyDescent="0.3">
      <c r="G19" s="56"/>
      <c r="H19" s="56"/>
      <c r="I19" s="56"/>
      <c r="J19" s="56"/>
      <c r="K19" s="68"/>
      <c r="L19" s="56"/>
      <c r="M19" s="56"/>
      <c r="N19" s="56"/>
      <c r="O19" s="56"/>
      <c r="P19" s="56"/>
      <c r="Q19" s="56"/>
      <c r="R19" s="56"/>
    </row>
    <row r="20" spans="1:39" ht="35.1" customHeight="1" thickBot="1" x14ac:dyDescent="0.3">
      <c r="C20" s="69"/>
      <c r="D20" s="139" t="s">
        <v>30</v>
      </c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1"/>
    </row>
    <row r="21" spans="1:39" ht="20.100000000000001" customHeight="1" thickBot="1" x14ac:dyDescent="0.3">
      <c r="C21" s="2"/>
      <c r="D21" s="136" t="s">
        <v>31</v>
      </c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8"/>
    </row>
    <row r="22" spans="1:39" ht="15" customHeight="1" x14ac:dyDescent="0.25">
      <c r="C22" s="1"/>
      <c r="D22" s="110" t="s">
        <v>32</v>
      </c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2"/>
    </row>
    <row r="23" spans="1:39" ht="15" customHeight="1" thickBot="1" x14ac:dyDescent="0.3">
      <c r="C23" s="1"/>
      <c r="D23" s="113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5"/>
    </row>
    <row r="24" spans="1:39" ht="15.75" customHeight="1" x14ac:dyDescent="0.25">
      <c r="C24" s="1"/>
    </row>
    <row r="25" spans="1:39" ht="15.75" customHeight="1" x14ac:dyDescent="0.25"/>
    <row r="29" spans="1:39" x14ac:dyDescent="0.25">
      <c r="C29" s="1"/>
      <c r="J29" s="71"/>
    </row>
    <row r="30" spans="1:39" x14ac:dyDescent="0.25">
      <c r="J30" s="71"/>
    </row>
  </sheetData>
  <mergeCells count="32">
    <mergeCell ref="T2:AL2"/>
    <mergeCell ref="T3:AL3"/>
    <mergeCell ref="AM2:AV2"/>
    <mergeCell ref="AM3:AV3"/>
    <mergeCell ref="AG4:AH4"/>
    <mergeCell ref="A1:E1"/>
    <mergeCell ref="C3:F3"/>
    <mergeCell ref="A11:G11"/>
    <mergeCell ref="D21:R21"/>
    <mergeCell ref="D20:R20"/>
    <mergeCell ref="C2:F2"/>
    <mergeCell ref="I4:J4"/>
    <mergeCell ref="P4:Q4"/>
    <mergeCell ref="H11:P11"/>
    <mergeCell ref="G2:S2"/>
    <mergeCell ref="G3:S3"/>
    <mergeCell ref="AJ5:AJ9"/>
    <mergeCell ref="AH5:AH9"/>
    <mergeCell ref="AG5:AG9"/>
    <mergeCell ref="AA11:AH11"/>
    <mergeCell ref="D22:R23"/>
    <mergeCell ref="Q11:Z11"/>
    <mergeCell ref="S5:S9"/>
    <mergeCell ref="N5:N9"/>
    <mergeCell ref="J5:J9"/>
    <mergeCell ref="I5:I9"/>
    <mergeCell ref="Z5:Z9"/>
    <mergeCell ref="X5:X9"/>
    <mergeCell ref="W5:W9"/>
    <mergeCell ref="U5:U9"/>
    <mergeCell ref="AE5:AE9"/>
    <mergeCell ref="AC5:AC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PC7</dc:creator>
  <cp:lastModifiedBy>PC7</cp:lastModifiedBy>
  <cp:lastPrinted>2022-08-11T16:02:58Z</cp:lastPrinted>
  <dcterms:created xsi:type="dcterms:W3CDTF">2022-05-24T12:30:53Z</dcterms:created>
  <dcterms:modified xsi:type="dcterms:W3CDTF">2025-01-08T15:37:37Z</dcterms:modified>
</cp:coreProperties>
</file>